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_rels/sheet8.xml.rels" ContentType="application/vnd.openxmlformats-package.relationships+xml"/>
  <Override PartName="/xl/worksheets/_rels/sheet7.xml.rels" ContentType="application/vnd.openxmlformats-package.relationships+xml"/>
  <Override PartName="/xl/worksheets/sheet8.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1. Mode d’emploi" sheetId="1" state="visible" r:id="rId3"/>
    <sheet name="2. Hypothèses" sheetId="2" state="visible" r:id="rId4"/>
    <sheet name="3. Calculateur" sheetId="3" state="visible" r:id="rId5"/>
    <sheet name="4. Contrôle humain" sheetId="4" state="visible" r:id="rId6"/>
    <sheet name="5. Scénarios" sheetId="5" state="visible" r:id="rId7"/>
    <sheet name="6. Portefeuille" sheetId="6" state="visible" r:id="rId8"/>
    <sheet name="7. Univers des cas" sheetId="7" state="visible" r:id="rId9"/>
    <sheet name="8. Sources" sheetId="8" state="visible" r:id="rId10"/>
  </sheets>
  <definedNames>
    <definedName function="false" hidden="false" localSheetId="1" name="_xlnm.Print_Titles" vbProcedure="false">'2. Hypothèses'!$5:$5</definedName>
    <definedName function="false" hidden="false" localSheetId="6" name="_xlnm.Print_Titles" vbProcedure="false">'7. Univers des cas'!$5:$5</definedName>
    <definedName function="false" hidden="true" localSheetId="6" name="_xlnm._FilterDatabase" vbProcedure="false">'7. Univers des cas'!$A$5:$V$125</definedName>
    <definedName function="false" hidden="false" name="p_a" vbProcedure="false">'2. Hypothèses'!$E$15</definedName>
    <definedName function="false" hidden="false" name="p_asens0" vbProcedure="false">'2. Hypothèses'!$E$101</definedName>
    <definedName function="false" hidden="false" name="p_asensP" vbProcedure="false">'2. Hypothèses'!$E$102</definedName>
    <definedName function="false" hidden="false" name="p_Bmax" vbProcedure="false">'2. Hypothèses'!$E$48</definedName>
    <definedName function="false" hidden="false" name="p_Ccc" vbProcedure="false">'2. Hypothèses'!$E$25</definedName>
    <definedName function="false" hidden="false" name="p_Cetp" vbProcedure="false">'2. Hypothèses'!$E$27</definedName>
    <definedName function="false" hidden="false" name="p_Cevit" vbProcedure="false">'2. Hypothèses'!$E$43</definedName>
    <definedName function="false" hidden="false" name="p_ch" vbProcedure="false">'2. Hypothèses'!$E$12</definedName>
    <definedName function="false" hidden="false" name="p_choc2" vbProcedure="false">'2. Hypothèses'!$E$97</definedName>
    <definedName function="false" hidden="false" name="p_chocD" vbProcedure="false">'2. Hypothèses'!$E$98</definedName>
    <definedName function="false" hidden="false" name="p_Cinc" vbProcedure="false">'2. Hypothèses'!$E$33</definedName>
    <definedName function="false" hidden="false" name="p_cinf" vbProcedure="false">'2. Hypothèses'!$E$21</definedName>
    <definedName function="false" hidden="false" name="p_Cint" vbProcedure="false">'2. Hypothèses'!$E$24</definedName>
    <definedName function="false" hidden="false" name="p_cjuge" vbProcedure="false">'2. Hypothèses'!$E$22</definedName>
    <definedName function="false" hidden="false" name="p_d" vbProcedure="false">'2. Hypothèses'!$E$19</definedName>
    <definedName function="false" hidden="false" name="p_delta" vbProcedure="false">'2. Hypothèses'!$E$36</definedName>
    <definedName function="false" hidden="false" name="p_e" vbProcedure="false">'2. Hypothèses'!$E$16</definedName>
    <definedName function="false" hidden="false" name="p_egrid" vbProcedure="false">'2. Hypothèses'!$E$100</definedName>
    <definedName function="false" hidden="false" name="p_esens0" vbProcedure="false">'2. Hypothèses'!$E$103</definedName>
    <definedName function="false" hidden="false" name="p_esensP" vbProcedure="false">'2. Hypothèses'!$E$104</definedName>
    <definedName function="false" hidden="false" name="p_g" vbProcedure="false">'2. Hypothèses'!$E$23</definedName>
    <definedName function="false" hidden="false" name="p_gcre" vbProcedure="false">'2. Hypothèses'!$E$106</definedName>
    <definedName function="false" hidden="false" name="p_gdec" vbProcedure="false">'2. Hypothèses'!$E$105</definedName>
    <definedName function="false" hidden="false" name="p_gdes" vbProcedure="false">'2. Hypothèses'!$E$41</definedName>
    <definedName function="false" hidden="false" name="p_gsyn" vbProcedure="false">'2. Hypothèses'!$E$40</definedName>
    <definedName function="false" hidden="false" name="p_H" vbProcedure="false">'2. Hypothèses'!$E$13</definedName>
    <definedName function="false" hidden="false" name="p_hform" vbProcedure="false">'2. Hypothèses'!$E$26</definedName>
    <definedName function="false" hidden="false" name="p_horiz" vbProcedure="false">'2. Hypothèses'!$E$35</definedName>
    <definedName function="false" hidden="false" name="p_kBain" vbProcedure="false">'2. Hypothèses'!$E$49</definedName>
    <definedName function="false" hidden="false" name="p_lam" vbProcedure="false">'2. Hypothèses'!$E$32</definedName>
    <definedName function="false" hidden="false" name="p_nEval" vbProcedure="false">'2. Hypothèses'!$E$28</definedName>
    <definedName function="false" hidden="false" name="p_nGouv" vbProcedure="false">'2. Hypothèses'!$E$29</definedName>
    <definedName function="false" hidden="false" name="p_Nmax" vbProcedure="false">'2. Hypothèses'!$E$46</definedName>
    <definedName function="false" hidden="false" name="p_partHyp" vbProcedure="false">'2. Hypothèses'!$E$47</definedName>
    <definedName function="false" hidden="false" name="p_pdet" vbProcedure="false">'2. Hypothèses'!$E$42</definedName>
    <definedName function="false" hidden="false" name="p_pech" vbProcedure="false">'2. Hypothèses'!$E$31</definedName>
    <definedName function="false" hidden="false" name="p_qa" vbProcedure="false">'2. Hypothèses'!$E$39</definedName>
    <definedName function="false" hidden="false" name="p_qh" vbProcedure="false">'2. Hypothèses'!$E$38</definedName>
    <definedName function="false" hidden="false" name="p_r" vbProcedure="false">'2. Hypothèses'!$E$34</definedName>
    <definedName function="false" hidden="false" name="p_ROIcible" vbProcedure="false">'2. Hypothèses'!$E$45</definedName>
    <definedName function="false" hidden="false" name="p_s" vbProcedure="false">'2. Hypothèses'!$E$17</definedName>
    <definedName function="false" hidden="false" name="p_sauto" vbProcedure="false">'2. Hypothèses'!$E$18</definedName>
    <definedName function="false" hidden="false" name="p_sgrid" vbProcedure="false">'2. Hypothèses'!$E$99</definedName>
    <definedName function="false" hidden="false" name="p_t0" vbProcedure="false">'2. Hypothèses'!$E$8</definedName>
    <definedName function="false" hidden="false" name="p_t1" vbProcedure="false">'2. Hypothèses'!$E$9</definedName>
    <definedName function="false" hidden="false" name="p_te" vbProcedure="false">'2. Hypothèses'!$E$10</definedName>
    <definedName function="false" hidden="false" name="p_ts" vbProcedure="false">'2. Hypothèses'!$E$11</definedName>
    <definedName function="false" hidden="false" name="p_V" vbProcedure="false">'2. Hypothèses'!$E$7</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<sst xmlns="http://schemas.openxmlformats.org/spreadsheetml/2006/main" count="3180" uniqueCount="1893">
  <si>
    <t xml:space="preserve">ACADEWIE  ·  LE FUTUR DE LA FINANCE À L’ÈRE DES AGENTS  ·  CLASSEUR DE CALCUL</t>
  </si>
  <si>
    <t xml:space="preserve">Feuille 1  ·  MODE D’EMPLOI  ·  modèle de retour ajusté du risque, arrêté au 11 août 2026</t>
  </si>
  <si>
    <t xml:space="preserve">Classeur d’accompagnement de l’étude stratégique Acadewie, destiné aux comités exécutifs et aux comités d’investissement d’institutions financières.</t>
  </si>
  <si>
    <t xml:space="preserve">À QUOI SERT CE CLASSEUR</t>
  </si>
  <si>
    <t xml:space="preserve">Il chiffre un cas d’usage agentique en institution financière, du volume de dossiers au retour ajusté du risque de projet, à partir de 38 variables d’entrée dont chacune porte sa source, sa date et son statut de preuve. Il rend une valeur actuelle nette, un retour ajusté, un délai de retour, une capacité libérée en équivalents temps plein et un coût total de possession ventilé par poste, sur quatre scénarios dont deux dégradés.</t>
  </si>
  <si>
    <t xml:space="preserve">Il repose sur trois principes issus de la recherche disponible. Premier principe : entrer des volumes et des temps unitaires, jamais des pourcentages de productivité, parce que l’écart mesuré entre productivité perçue et productivité mesurée atteint 43 points. Deuxième principe : compter l’escalade et l’échantillonnage comme des coûts et non comme des détails, parce qu’ils pèsent davantage que l’inférence. Troisième principe : pondérer par une probabilité d’échec de projet documentée, parce que sans elle un dossier surestime sa valeur actuelle nette de près de moitié.</t>
  </si>
  <si>
    <t xml:space="preserve">TROIS ÉTAPES D’UTILISATION</t>
  </si>
  <si>
    <t xml:space="preserve">Étape 1  ·  Saisir vos propres grandeurs, en feuille 2</t>
  </si>
  <si>
    <t xml:space="preserve">Volume annuel de dossiers, temps unitaires relevés et non estimés, coût horaire chargé, coût du capital de l’institution. Les cellules à modifier sont bleues sur fond ivoire, et elles sont toutes sur cette feuille, y compris les leviers des quatre scénarios et les paramètres des dix cas du portefeuille. Chaque saisie hors de la fourchette documentée déclenche une alerte : elle reste possible, à condition d’être justifiée en séance.</t>
  </si>
  <si>
    <t xml:space="preserve">Étape 2  ·  Lire le résultat, puis lire le test de robustesse, en feuilles 3 et 5</t>
  </si>
  <si>
    <t xml:space="preserve">La feuille 3 rend le compte annuel, le coût total de possession ventilé par poste et les indicateurs de décision. La feuille 5 rend les quatre scénarios et les quatre chocs obligatoires : escalade doublée, échantillonnage doublé, inférence doublée, automatisation réduite de moitié. Le dossier n’est présentable en comité que si la valeur actuelle nette ajustée reste positive dans les quatre.</t>
  </si>
  <si>
    <t xml:space="preserve">Étape 3  ·  Décider où placer le contrôle humain et quel rang le portefeuille ne doit pas dépasser, en feuilles 4 et 6</t>
  </si>
  <si>
    <t xml:space="preserve">La feuille 4 applique le critère de placement : mesurer les trois configurations, humain seul, agent seul, paire, et n’installer un humain sur l’acte que là où l’humain seul fait mieux que l’agent seul. La feuille 6 classe dix cas et donne le rang à partir duquel un cas supplémentaire cesse d’être rentable, ainsi que le motif du décrochage.</t>
  </si>
  <si>
    <t xml:space="preserve">CE QUE CE CLASSEUR NE DIT PAS</t>
  </si>
  <si>
    <t xml:space="preserve">•   Il ne dit pas si votre cas fonctionnera. Il chiffre une hypothèse de fonctionnement, il ne la valide pas. La preuve de faisabilité se produit en pilote instrumenté, pas en tableur.</t>
  </si>
  <si>
    <t xml:space="preserve">•   Il ne convertit pas une capacité libérée en économie. Un équivalent temps plein libéré s’inscrit en capacité tant qu’une décision d’organisation ne l’a ni redéployé ni supprimé. Le classeur affiche la capacité, il ne l’encaisse jamais.</t>
  </si>
  <si>
    <t xml:space="preserve">•   Il ne mesure pas un délai de bout en bout. Le modèle compte du temps travaillé. Les facteurs de compression publiés, de 20 à 300, portent sur des délais de cycle et ne se déduisent pas de ce classeur.</t>
  </si>
  <si>
    <t xml:space="preserve">•   Il ne remplace pas un contrefactuel. Une décote forfaitaire de 25 % retranche du gain avant-après ce qu’un groupe témoin aurait probablement montré. Elle se supprime le jour où votre pilote comporte un vrai groupe témoin, et pas avant.</t>
  </si>
  <si>
    <t xml:space="preserve">•   Il ne dit rien du risque de conformité résiduel. Le coût de risque est une hypothèse prudente, un incident matériel par cas et par an. Ce n’est pas une évaluation de votre exposition réglementaire.</t>
  </si>
  <si>
    <t xml:space="preserve">•   Il ne compare pas votre institution au marché. Sur 173 nouveaux cas d’usage annoncés par 47 grandes banques sur douze mois, 30 % seulement publient une mesure d’impact, et presque aucun ne publie une méthode.</t>
  </si>
  <si>
    <t xml:space="preserve">AVERTISSEMENT SUR LA RARETÉ DES DONNÉES PUBLIQUES</t>
  </si>
  <si>
    <t xml:space="preserve">Au 11 août 2026, la recherche conduite pour cette étude n’a trouvé aucune institution financière nommée publiant le coût en équivalents temps plein de son dispositif de supervision d’agents, aucun taux d’escalade vers l’humain, aucun taux d’incident agentique, et aucun cas public comparant l’agent à un groupe témoin. Ni taux d’échantillonnage de contrôle, ni temps unitaire de relecture, ni effectif de deuxième ligne affecté, ni coût par dossier supervisé. Le poste que la réglementation rend obligatoire est celui que personne ne chiffre.</t>
  </si>
  <si>
    <t xml:space="preserve">Conséquence directe pour l’utilisateur de ce classeur : les postes qui dominent le calcul sont précisément ceux qui n’ont pas de référence publique. Les valeurs par défaut correspondantes sont soit des hypothèses de l’étude, soit des heuristiques, soit des constats mesurés du vide, et chacune porte son statut en feuille 2. Elles servent à cadrer une décision et à en éprouver les scénarios dégradés. Elles ne deviennent un instrument de mesure qu’une fois remplacées par vos propres relevés. Cette production de donnée interne est le livrable du premier cas, au même titre que l’automatisation.</t>
  </si>
  <si>
    <t xml:space="preserve">INDICATEURS DE TRAÇABILITÉ DU CLASSEUR, CALCULÉS</t>
  </si>
  <si>
    <t xml:space="preserve">Indicateur</t>
  </si>
  <si>
    <t xml:space="preserve">Valeur</t>
  </si>
  <si>
    <t xml:space="preserve">Lecture</t>
  </si>
  <si>
    <t xml:space="preserve">Variables d’entrée du modèle</t>
  </si>
  <si>
    <t xml:space="preserve">Cible : 38 variables, une par ligne, en feuille 2.</t>
  </si>
  <si>
    <t xml:space="preserve">Variables dont la valeur par défaut n’a aucune source externe</t>
  </si>
  <si>
    <t xml:space="preserve">Hypothèses et heuristiques de l’étude.</t>
  </si>
  <si>
    <t xml:space="preserve">Part correspondante</t>
  </si>
  <si>
    <t xml:space="preserve">Garde-fou n° 6 : au-delà d’un tiers, le dossier ne se présente pas en comité d’investissement.</t>
  </si>
  <si>
    <t xml:space="preserve">Verdict de recevabilité</t>
  </si>
  <si>
    <t xml:space="preserve">Calculé, il se met à jour avec vos saisies.</t>
  </si>
  <si>
    <t xml:space="preserve">Part des valeurs par défaut sans chiffre publié par une institution financière nommée</t>
  </si>
  <si>
    <t xml:space="preserve">Constat central de l’étude.</t>
  </si>
  <si>
    <t xml:space="preserve">Retour ajusté du risque, scénario de référence</t>
  </si>
  <si>
    <t xml:space="preserve">Cas type de l’étude, investigation LCB-FT de premier niveau, 120 000 alertes par an.</t>
  </si>
  <si>
    <t xml:space="preserve">Coût de l’année 1 imputable au dispositif, scénario de référence</t>
  </si>
  <si>
    <t xml:space="preserve">Dont la part figurant au devis d’un fournisseur est affichée en feuille 3.</t>
  </si>
  <si>
    <t xml:space="preserve">Part de l’inférence dans ce coût</t>
  </si>
  <si>
    <t xml:space="preserve">Le prix du jeton est la plus petite ligne de la facture.</t>
  </si>
  <si>
    <t xml:space="preserve">Capacité libérée, année 1</t>
  </si>
  <si>
    <t xml:space="preserve">Capacité, jamais économie.</t>
  </si>
  <si>
    <t xml:space="preserve">LES HUIT FEUILLES</t>
  </si>
  <si>
    <t xml:space="preserve">Feuille</t>
  </si>
  <si>
    <t xml:space="preserve">Ce qu’elle contient</t>
  </si>
  <si>
    <t xml:space="preserve">Saisie</t>
  </si>
  <si>
    <t xml:space="preserve">1. Mode d’emploi</t>
  </si>
  <si>
    <t xml:space="preserve">Objet du classeur, trois étapes, ce qu’il ne dit pas, avertissement sur la rareté des données publiques, indicateurs de traçabilité.</t>
  </si>
  <si>
    <t xml:space="preserve">aucune</t>
  </si>
  <si>
    <t xml:space="preserve">2. Hypothèses</t>
  </si>
  <si>
    <t xml:space="preserve">Les 38 variables, une par ligne, avec libellé, symbole, unité, valeur par défaut, fourchette, source datée et statut. Leviers des quatre scénarios, paramètres des dix cas du portefeuille, paramètres d’affichage.</t>
  </si>
  <si>
    <t xml:space="preserve">seule feuille de saisie</t>
  </si>
  <si>
    <t xml:space="preserve">3. Calculateur</t>
  </si>
  <si>
    <t xml:space="preserve">Volumes, coût de référence, compte annuel, gain de coût, gain de délai, capacité libérée, coût total de possession ventilé par poste, valeur actuelle nette, retour ajusté, délai de retour.</t>
  </si>
  <si>
    <t xml:space="preserve">4. Contrôle humain</t>
  </si>
  <si>
    <t xml:space="preserve">Critère de placement, coût du contrôle selon le taux d’échantillonnage et le coût de l’incident évité, taux optimal, seuil d’autofinancement, coût selon le taux d’escalade.</t>
  </si>
  <si>
    <t xml:space="preserve">5. Scénarios</t>
  </si>
  <si>
    <t xml:space="preserve">Quatre scénarios dont deux dégradés, quatre chocs obligatoires, table de sensibilité à deux entrées sur les deux variables les plus déterminantes.</t>
  </si>
  <si>
    <t xml:space="preserve">6. Portefeuille</t>
  </si>
  <si>
    <t xml:space="preserve">Dix cas, retour agrégé, classement par retour et par délai, rang à partir duquel un cas supplémentaire cesse d’être rentable et motif du décrochage.</t>
  </si>
  <si>
    <t xml:space="preserve">7. Univers des cas</t>
  </si>
  <si>
    <t xml:space="preserve">Tableau maître des 120 cas d’usage, avec statut de preuve, gain de coût, gain de délai, autonomie atteignable et observée, point de contrôle humain, difficulté et régime réglementaire. Filtres actifs.</t>
  </si>
  <si>
    <t xml:space="preserve">8. Sources</t>
  </si>
  <si>
    <t xml:space="preserve">Toutes les sources des valeurs par défaut, avec intitulé, émetteur, date, statut et adresse.</t>
  </si>
  <si>
    <t xml:space="preserve">CONVENTIONS DE SAISIE ET DE LECTURE</t>
  </si>
  <si>
    <t xml:space="preserve">Cellule de saisie, bleu sur fond ivoire</t>
  </si>
  <si>
    <t xml:space="preserve">À modifier. Toutes sont en feuille 2. Une validation contrôle l’appartenance à la fourchette documentée.</t>
  </si>
  <si>
    <t xml:space="preserve">Cellule verte, lien vers une autre feuille</t>
  </si>
  <si>
    <t xml:space="preserve">Reprend une valeur saisie ailleurs. Ne pas écraser.</t>
  </si>
  <si>
    <t xml:space="preserve">Cellule noire, formule</t>
  </si>
  <si>
    <t xml:space="preserve">Calculée. Aucune valeur n’est figée dans les feuilles de calcul : le classeur se recalcule intégralement à chaque modification d’hypothèse.</t>
  </si>
  <si>
    <t xml:space="preserve">Acadewie  ·  Étude « Le futur de la finance à l’ère des agents »  ·  Modèle de retour ajusté du risque, recherche arrêtée au 11 août 2026. Les chiffres du cas type reproduisent ceux publiés dans la section « Dossier économique » de l’étude. Toute valeur par défaut modifiée doit être documentée avant présentation en comité.</t>
  </si>
  <si>
    <t xml:space="preserve">Feuille 2  ·  HYPOTHÈSES  ·  les 38 variables d’entrée du modèle de retour ajusté du risque</t>
  </si>
  <si>
    <t xml:space="preserve">Seule feuille du classeur contenant des valeurs saisies. Cellules bleues sur fond ivoire : à modifier. Vert : lien vers une autre feuille. Noir : formule, ne pas écraser.</t>
  </si>
  <si>
    <t xml:space="preserve">Code</t>
  </si>
  <si>
    <t xml:space="preserve">Variable</t>
  </si>
  <si>
    <t xml:space="preserve">Symbole</t>
  </si>
  <si>
    <t xml:space="preserve">Unité</t>
  </si>
  <si>
    <t xml:space="preserve">Valeur retenue</t>
  </si>
  <si>
    <t xml:space="preserve">Fourchette basse</t>
  </si>
  <si>
    <t xml:space="preserve">Fourchette haute</t>
  </si>
  <si>
    <t xml:space="preserve">Source exacte, datée</t>
  </si>
  <si>
    <t xml:space="preserve">Statut de la source</t>
  </si>
  <si>
    <t xml:space="preserve">BLOC A, VOLUMÉTRIE ET TEMPS, les entrées sont des volumes et des temps unitaires, jamais des pourcentages de productivité</t>
  </si>
  <si>
    <t xml:space="preserve">V01</t>
  </si>
  <si>
    <t xml:space="preserve">Volume annuel de dossiers du processus</t>
  </si>
  <si>
    <t xml:space="preserve">V</t>
  </si>
  <si>
    <t xml:space="preserve">dossiers par an</t>
  </si>
  <si>
    <t xml:space="preserve">Hypothèse de l’étude, cas type d’une investigation LCB-FT de premier niveau dans une banque de taille moyenne (REX_ROI.md § 8.5, arrêté au 11 août 2026). Aucune valeur ne provient d’une institution nommée.</t>
  </si>
  <si>
    <t xml:space="preserve">hypothèse de l’étude</t>
  </si>
  <si>
    <t xml:space="preserve">V02</t>
  </si>
  <si>
    <t xml:space="preserve">Temps unitaire humain avant agent</t>
  </si>
  <si>
    <t xml:space="preserve">t0</t>
  </si>
  <si>
    <t xml:space="preserve">heures par dossier</t>
  </si>
  <si>
    <t xml:space="preserve">Hypothèse de l’étude (REX_ROI.md § 8.5). Aucune institution financière nommée ne publie de temps unitaire d’investigation d’alerte. À remplacer par un relevé de temps interne.</t>
  </si>
  <si>
    <t xml:space="preserve">V03</t>
  </si>
  <si>
    <t xml:space="preserve">Temps unitaire humain après, sur un dossier traité en autonomie</t>
  </si>
  <si>
    <t xml:space="preserve">t1</t>
  </si>
  <si>
    <t xml:space="preserve">Compressions publiées de facteur 20 à 300 : TD Bank, 15 heures vers 3 minutes (Raymond Chun, résultats T2 2026, 28 mai 2026) ; OCBC, 10 jours vers 1 heure ; Goldman Sachs, 30 minutes vers 1,5 minute. Le modèle retient un facteur 7,5 sur le périmètre repris, en deçà du bas de la fourchette publiée, par prudence.</t>
  </si>
  <si>
    <t xml:space="preserve">déclaratif non audité, retenu en borne prudente</t>
  </si>
  <si>
    <t xml:space="preserve">V04</t>
  </si>
  <si>
    <t xml:space="preserve">Temps unitaire d’un dossier escaladé vers l’humain</t>
  </si>
  <si>
    <t xml:space="preserve">te</t>
  </si>
  <si>
    <t xml:space="preserve">1,2 × t0. L’humain reprend un dossier déjà partiellement traité, avec un coût de reconstitution du contexte. Corroboré qualitativement par Banking Dive, 3 août 2026 (contenu sponsorisé) et par le mécanisme mesuré par CircleCI, 2026 State of Software Delivery Report.</t>
  </si>
  <si>
    <t xml:space="preserve">heuristique de l’étude</t>
  </si>
  <si>
    <t xml:space="preserve">V05</t>
  </si>
  <si>
    <t xml:space="preserve">Temps unitaire de relecture d’un dossier échantillonné</t>
  </si>
  <si>
    <t xml:space="preserve">ts</t>
  </si>
  <si>
    <t xml:space="preserve">0,25 × t0. Aucune source publiée. À remplacer par un relevé de temps dès le pilote (REX_ROI.md § 8.3).</t>
  </si>
  <si>
    <t xml:space="preserve">V06</t>
  </si>
  <si>
    <t xml:space="preserve">Coût horaire chargé de l’opérateur</t>
  </si>
  <si>
    <t xml:space="preserve">ch</t>
  </si>
  <si>
    <t xml:space="preserve">euros par heure</t>
  </si>
  <si>
    <t xml:space="preserve">Hypothèse de l’étude. Test de vraisemblance : Bain &amp; Company, 16 décembre 2024, 22,1 M$ pour environ 270 équivalents temps plein, soit 82 000 $ par ETP tous coûts confondus.</t>
  </si>
  <si>
    <t xml:space="preserve">V07</t>
  </si>
  <si>
    <t xml:space="preserve">Heures annuelles travaillées par équivalent temps plein</t>
  </si>
  <si>
    <t xml:space="preserve">H</t>
  </si>
  <si>
    <t xml:space="preserve">heures par an</t>
  </si>
  <si>
    <t xml:space="preserve">Durée annuelle de référence en France, 1 607 heures pour 35 heures hebdomadaires, Code du travail, articles L3121-41 et suivants, et circulaires d’application URSSAF.</t>
  </si>
  <si>
    <t xml:space="preserve">donnée réglementaire française</t>
  </si>
  <si>
    <t xml:space="preserve">BLOC B, PERFORMANCE DE L’AGENT</t>
  </si>
  <si>
    <t xml:space="preserve">V08</t>
  </si>
  <si>
    <t xml:space="preserve">Taux d’automatisation atteignable, part des dossiers entrant dans le périmètre de l’agent</t>
  </si>
  <si>
    <t xml:space="preserve">a</t>
  </si>
  <si>
    <t xml:space="preserve">%</t>
  </si>
  <si>
    <t xml:space="preserve">Nubank, 55 % des demandes de niveau 1 résolues sans intervention humaine, arXiv 2606.08867, accepté à KDD 2026. Borne haute : Gradient Labs, 60 % au premier jour et 80 à 90 % en déploiement mature, déclaratif éditeur. Retenir la borne basse pour un premier cas.</t>
  </si>
  <si>
    <t xml:space="preserve">constat mesuré, borne haute déclaratif éditeur</t>
  </si>
  <si>
    <t xml:space="preserve">V09</t>
  </si>
  <si>
    <t xml:space="preserve">Taux d’escalade, part des dossiers pris par l’agent renvoyés à l’humain</t>
  </si>
  <si>
    <t xml:space="preserve">e</t>
  </si>
  <si>
    <t xml:space="preserve">Aucune institution financière nommée ne publie de taux d’escalade au 11 août 2026. À calculer en pilote comme 1 moins le taux de résolution observé (REX_ROI.md § 8.3).</t>
  </si>
  <si>
    <t xml:space="preserve">constat mesuré du vide</t>
  </si>
  <si>
    <t xml:space="preserve">V10</t>
  </si>
  <si>
    <t xml:space="preserve">Taux d’échantillonnage de relecture humaine sur les dossiers autonomes</t>
  </si>
  <si>
    <t xml:space="preserve">s</t>
  </si>
  <si>
    <t xml:space="preserve">Hypothèse de l’étude, en complément de l’audit automatique intégral. Aucune institution financière nommée ne publie de taux d’échantillonnage de contrôle.</t>
  </si>
  <si>
    <t xml:space="preserve">V11</t>
  </si>
  <si>
    <t xml:space="preserve">Taux d’audit par juge automatique sur les dossiers autonomes</t>
  </si>
  <si>
    <t xml:space="preserve">sauto</t>
  </si>
  <si>
    <t xml:space="preserve">Nubank audite 100 % des conversations par juge LLM sur trois critères binaires, avec suivi de l’accord inter-évaluateurs, arXiv 2606.08867, KDD 2026.</t>
  </si>
  <si>
    <t xml:space="preserve">constat mesuré</t>
  </si>
  <si>
    <t xml:space="preserve">V12</t>
  </si>
  <si>
    <t xml:space="preserve">Érosion annuelle du gain unitaire</t>
  </si>
  <si>
    <t xml:space="preserve">d</t>
  </si>
  <si>
    <t xml:space="preserve">% par an</t>
  </si>
  <si>
    <t xml:space="preserve">Seul point d’ancrage disponible : part des nouveaux cas d’usage assurance publiés avec un résultat, passée de 38 % à 18 % en un trimestre, Evident Insights, premier trimestre 2026.</t>
  </si>
  <si>
    <t xml:space="preserve">constat mesuré par veille</t>
  </si>
  <si>
    <t xml:space="preserve">BLOC C, COÛTS</t>
  </si>
  <si>
    <t xml:space="preserve">V13</t>
  </si>
  <si>
    <t xml:space="preserve">Coût d’inférence par dossier pris par l’agent</t>
  </si>
  <si>
    <t xml:space="preserve">cinf</t>
  </si>
  <si>
    <t xml:space="preserve">euros par dossier</t>
  </si>
  <si>
    <t xml:space="preserve">Prix catalogue par tâche courte, 0,009 à 0,129 $ (benchmark Aider polyglot, 225 exercices, juillet 2026). Coût agentique réel avec surcharge de contexte, 1,60 à 2,60 $ par tâche. Facteur 10 à 100 entre les deux. La surcharge de contexte représente 85 à 95 % des jetons d’une session agentique.</t>
  </si>
  <si>
    <t xml:space="preserve">benchmark et heuristique</t>
  </si>
  <si>
    <t xml:space="preserve">V14</t>
  </si>
  <si>
    <t xml:space="preserve">Coût du juge automatique par dossier audité</t>
  </si>
  <si>
    <t xml:space="preserve">cjuge</t>
  </si>
  <si>
    <t xml:space="preserve">Compris par défaut dans le coût d’inférence. Aucun prix distinct n’est publié pour un juge automatique en production. À isoler dès qu’un fournisseur le facture séparément.</t>
  </si>
  <si>
    <t xml:space="preserve">V15</t>
  </si>
  <si>
    <t xml:space="preserve">Dérive annuelle du coût d’inférence par dossier</t>
  </si>
  <si>
    <t xml:space="preserve">g</t>
  </si>
  <si>
    <t xml:space="preserve">Anthropic porte son estimation officielle de 6 $ à 13 $ par développeur et par jour actif en quatorze mois, soit +117 %, à prix de liste inchangé, annonce du 15 avril 2026 pour effet au 16 avril 2026. Ne jamais saisir une valeur négative par défaut.</t>
  </si>
  <si>
    <t xml:space="preserve">constat mesuré de fournisseur</t>
  </si>
  <si>
    <t xml:space="preserve">V16</t>
  </si>
  <si>
    <t xml:space="preserve">Coût d’intégration, non récurrent</t>
  </si>
  <si>
    <t xml:space="preserve">Cint</t>
  </si>
  <si>
    <t xml:space="preserve">euros</t>
  </si>
  <si>
    <t xml:space="preserve">Prix affichés d’éditeurs pour un cas de service client, 50 000 à 200 000 $ ; 100 000 $ à plus de 1 M$ pour un déploiement d’entreprise (RECHERCHE.md § 9). Chiffres compilés par des concurrents directs.</t>
  </si>
  <si>
    <t xml:space="preserve">benchmark anonymisé, source intéressée</t>
  </si>
  <si>
    <t xml:space="preserve">V17</t>
  </si>
  <si>
    <t xml:space="preserve">Coût de conduite du changement et de formation, non récurrent</t>
  </si>
  <si>
    <t xml:space="preserve">Ccc</t>
  </si>
  <si>
    <t xml:space="preserve">BCG, AI at Work 2025, 10 635 répondants : seuil utile de 5 à 10 heures de formation par utilisateur, présentiel +12 points d’adoption, accompagnateur +14 points. Le montant retenu correspond à environ 130 utilisateurs formés 7 heures au coût horaire chargé.</t>
  </si>
  <si>
    <t xml:space="preserve">enquête déclarative</t>
  </si>
  <si>
    <t xml:space="preserve">V18</t>
  </si>
  <si>
    <t xml:space="preserve">Heures de formation par utilisateur</t>
  </si>
  <si>
    <t xml:space="preserve">hform</t>
  </si>
  <si>
    <t xml:space="preserve">heures</t>
  </si>
  <si>
    <t xml:space="preserve">BCG, AI at Work 2025, 10 635 répondants, seuil utile de 5 à 10 heures par utilisateur. Sert au contrôle de vraisemblance du coût de conduite du changement.</t>
  </si>
  <si>
    <t xml:space="preserve">V19</t>
  </si>
  <si>
    <t xml:space="preserve">Coût annuel chargé d’un équivalent temps plein de contrôle</t>
  </si>
  <si>
    <t xml:space="preserve">Cetp</t>
  </si>
  <si>
    <t xml:space="preserve">euros par an</t>
  </si>
  <si>
    <t xml:space="preserve">Hypothèse de l’étude. Test de vraisemblance : Bain &amp; Company, 16 décembre 2024, 82 000 $ par équivalent temps plein mobilisé, tous coûts confondus, périmètre programme et non profil d’ingénierie d’évaluation.</t>
  </si>
  <si>
    <t xml:space="preserve">V20</t>
  </si>
  <si>
    <t xml:space="preserve">Équivalents temps plein d’évaluation continue</t>
  </si>
  <si>
    <t xml:space="preserve">nEval</t>
  </si>
  <si>
    <t xml:space="preserve">ETP</t>
  </si>
  <si>
    <t xml:space="preserve">Aucun chiffre publié. Dimensionnement proposé par l’étude : 1 à 2 ETP d’ingénierie d’évaluation par cas en production la première année, plus le juge automatique sur 100 % du flux (AUTORITES.md, vide n° 1).</t>
  </si>
  <si>
    <t xml:space="preserve">V21</t>
  </si>
  <si>
    <t xml:space="preserve">Équivalents temps plein de gouvernance et de supervision</t>
  </si>
  <si>
    <t xml:space="preserve">nGouv</t>
  </si>
  <si>
    <t xml:space="preserve">Aucun chiffre publié. Ancrage indirect : 48 % des institutions prévoient de créer des rôles de superviseur ou de coordinateur d’agents, Capgemini, enquête de juin et juillet 2025, communiqué du 12 novembre 2025, antériorité de douze mois à annoncer à chaque citation.</t>
  </si>
  <si>
    <t xml:space="preserve">BLOC D, RISQUE ET ACTUALISATION</t>
  </si>
  <si>
    <t xml:space="preserve">V22</t>
  </si>
  <si>
    <t xml:space="preserve">Probabilité d’échec du projet</t>
  </si>
  <si>
    <t xml:space="preserve">pech</t>
  </si>
  <si>
    <t xml:space="preserve">S&amp;P Global Market Intelligence, 42 % d’abandon de la majorité des initiatives IA en 2025 contre 17 % un an plus tôt, 46 % de preuves de concept arrêtées, plus de 1 000 répondants, seconde main, titre du rapport non nommé dans les reprises consultées. Convergent : Gartner, plus de 40 % de projets agentiques annulés d’ici fin 2027 (prévision, 25 juin 2025) ; BCG, 26 % dépassent la preuve de concept.</t>
  </si>
  <si>
    <t xml:space="preserve">enquête déclarative, seconde main</t>
  </si>
  <si>
    <t xml:space="preserve">V23</t>
  </si>
  <si>
    <t xml:space="preserve">Fréquence annuelle d’incident matériel</t>
  </si>
  <si>
    <t xml:space="preserve">lambda</t>
  </si>
  <si>
    <t xml:space="preserve">incidents par an</t>
  </si>
  <si>
    <t xml:space="preserve">Aucun taux d’incident agentique n’est publié par un fournisseur ou par une institution au 11 août 2026. Hypothèse prudente de l’étude, à réviser dès qu’une série existe (FAITS.md § 5.5).</t>
  </si>
  <si>
    <t xml:space="preserve">V24</t>
  </si>
  <si>
    <t xml:space="preserve">Coût unitaire d’un incident matériel</t>
  </si>
  <si>
    <t xml:space="preserve">Cinc</t>
  </si>
  <si>
    <t xml:space="preserve">Ancrages disponibles : sanctions SEC de 175 000 $ et 225 000 $ pour survente de capacités d’IA ; pénalités DORA pouvant atteindre 1 % du chiffre d’affaires quotidien mondial moyen par jour de manquement pour un prestataire critique ; jurisprudence Air Canada sur l’opposabilité de la promesse énoncée par l’agent ; ordonnance du 9 mars 2026.</t>
  </si>
  <si>
    <t xml:space="preserve">constat mesuré, ancrage indirect</t>
  </si>
  <si>
    <t xml:space="preserve">V25</t>
  </si>
  <si>
    <t xml:space="preserve">Taux d’actualisation, coût du capital de l’institution</t>
  </si>
  <si>
    <t xml:space="preserve">r</t>
  </si>
  <si>
    <t xml:space="preserve">Donnée interne de l’institution. Valeur d’illustration de l’étude, à remplacer par le coût du capital communiqué par la direction financière.</t>
  </si>
  <si>
    <t xml:space="preserve">à saisir par l’institution</t>
  </si>
  <si>
    <t xml:space="preserve">V26</t>
  </si>
  <si>
    <t xml:space="preserve">Horizon de calcul</t>
  </si>
  <si>
    <t xml:space="preserve">S</t>
  </si>
  <si>
    <t xml:space="preserve">années</t>
  </si>
  <si>
    <t xml:space="preserve">Horizon aligné sur l’échéance Annexe III de l’AI Act au 2 décembre 2027, report provisoire issu de l’accord Digital Omnibus du 6 mai 2026, et sur la révision probable du modèle sous-jacent.</t>
  </si>
  <si>
    <t xml:space="preserve">règle de l’étude</t>
  </si>
  <si>
    <t xml:space="preserve">V27</t>
  </si>
  <si>
    <t xml:space="preserve">Décote de contrefactuel appliquée au gain avant-après</t>
  </si>
  <si>
    <t xml:space="preserve">delta</t>
  </si>
  <si>
    <t xml:space="preserve">Aucun des cas publics ne compare l’agent à un groupe témoin, tous les gains publiés sont des avant-après sur des périmètres qui bougent (USECASES.md, manque n° 1). Décote forfaitaire de l’étude, supprimée si le pilote comporte un groupe témoin.</t>
  </si>
  <si>
    <t xml:space="preserve">BLOC E, PLACEMENT DU CONTRÔLE HUMAIN, critère de la méta-analyse Vaccaro et al.</t>
  </si>
  <si>
    <t xml:space="preserve">V28</t>
  </si>
  <si>
    <t xml:space="preserve">Exactitude de la configuration humaine ou déterministe seule</t>
  </si>
  <si>
    <t xml:space="preserve">qh</t>
  </si>
  <si>
    <t xml:space="preserve">Sharma, ligne de base du classifieur seul, 71,7 % sur un échantillon équilibré de 60 cas, arXiv 2607.19266, 21 juillet 2026, jeu PaySim simulé et non données de production. À remplacer par une mesure interne des trois configurations avant le pilote.</t>
  </si>
  <si>
    <t xml:space="preserve">publication avec méthodologie, données simulées</t>
  </si>
  <si>
    <t xml:space="preserve">V29</t>
  </si>
  <si>
    <t xml:space="preserve">Exactitude de l’agent seul</t>
  </si>
  <si>
    <t xml:space="preserve">qa</t>
  </si>
  <si>
    <t xml:space="preserve">Sharma, agent d’investigation borné, 65,0 % contre 71,7 % pour la ligne de base ; sur 8 modifications de décision opérées par l’agent, 6 ont remplacé une décision correcte par une erreur, arXiv 2607.19266, 21 juillet 2026.</t>
  </si>
  <si>
    <t xml:space="preserve">V30</t>
  </si>
  <si>
    <t xml:space="preserve">Effet de la paire quand l’humain seul bat l’agent seul, Hedges g</t>
  </si>
  <si>
    <t xml:space="preserve">g+</t>
  </si>
  <si>
    <t xml:space="preserve">écart-type</t>
  </si>
  <si>
    <t xml:space="preserve">Vaccaro, Almaatouq et Malone, Nature Human Behaviour, 28 octobre 2024, 106 études expérimentales, 370 tailles d’effet, intervalle de confiance à 95 % de 0,28 à 0,66. Synergie réelle.</t>
  </si>
  <si>
    <t xml:space="preserve">constat mesuré, méta-analyse revue par les pairs</t>
  </si>
  <si>
    <t xml:space="preserve">V31</t>
  </si>
  <si>
    <t xml:space="preserve">Effet de la paire quand l’agent seul bat l’humain seul, Hedges g</t>
  </si>
  <si>
    <t xml:space="preserve">g−</t>
  </si>
  <si>
    <t xml:space="preserve">Vaccaro, Almaatouq et Malone, Nature Human Behaviour, 28 octobre 2024, intervalle de confiance à 95 % de −0,71 à −0,37. Destruction de valeur.</t>
  </si>
  <si>
    <t xml:space="preserve">V32</t>
  </si>
  <si>
    <t xml:space="preserve">Part des erreurs de l’agent signalées par le dispositif de contrôle</t>
  </si>
  <si>
    <t xml:space="preserve">pdet</t>
  </si>
  <si>
    <t xml:space="preserve">Sharma : la règle d’escalade fondée sur le désaccord entre l’agent et le classifieur signale 2 des 6 erreurs introduites par l’agent, sans signaler de décisions correctes, arXiv 2607.19266, 21 juillet 2026.</t>
  </si>
  <si>
    <t xml:space="preserve">V33</t>
  </si>
  <si>
    <t xml:space="preserve">Coût de l’incident évité par un contrôle efficace</t>
  </si>
  <si>
    <t xml:space="preserve">Cevit</t>
  </si>
  <si>
    <t xml:space="preserve">Même ancrage que le coût unitaire d’un incident matériel, sanctions SEC et régime de pénalités DORA. Aucune institution ne publie de coût d’incident évité par un dispositif de supervision.</t>
  </si>
  <si>
    <t xml:space="preserve">BLOC F, PILOTAGE, BORNES DE GOUVERNANCE ET TESTS DE VRAISEMBLANCE</t>
  </si>
  <si>
    <t xml:space="preserve">V34</t>
  </si>
  <si>
    <t xml:space="preserve">Retour ajusté minimal exigé par le comité d’investissement</t>
  </si>
  <si>
    <t xml:space="preserve">ROI*</t>
  </si>
  <si>
    <t xml:space="preserve">x</t>
  </si>
  <si>
    <t xml:space="preserve">Règle de gouvernance de l’institution. Valeur d’illustration de l’étude : un euro de valeur actuelle nette ajustée par euro d’investissement actualisé.</t>
  </si>
  <si>
    <t xml:space="preserve">V35</t>
  </si>
  <si>
    <t xml:space="preserve">Nombre de cas simultanés portables par le dispositif de gouvernance</t>
  </si>
  <si>
    <t xml:space="preserve">Nmax</t>
  </si>
  <si>
    <t xml:space="preserve">cas</t>
  </si>
  <si>
    <t xml:space="preserve">Aucun chiffre publié sur la capacité d’un dispositif de supervision d’agents. Hypothèse de l’étude, cohérente avec 0,75 ETP de gouvernance par cas en production.</t>
  </si>
  <si>
    <t xml:space="preserve">V36</t>
  </si>
  <si>
    <t xml:space="preserve">Part maximale admissible de variables sans source externe</t>
  </si>
  <si>
    <t xml:space="preserve">hyp*</t>
  </si>
  <si>
    <t xml:space="preserve">REX_ROI.md § 8.4, garde-fou 6 : un dossier comportant plus d’un tiers de cellules portant la mention hypothèse n’est pas présentable en comité d’investissement.</t>
  </si>
  <si>
    <t xml:space="preserve">V37</t>
  </si>
  <si>
    <t xml:space="preserve">Budget annuel disponible pour le portefeuille</t>
  </si>
  <si>
    <t xml:space="preserve">Bmax</t>
  </si>
  <si>
    <t xml:space="preserve">Donnée interne de l’institution. Test de vraisemblance : Bain &amp; Company, 16 décembre 2024, 22,1 M$ d’investissement IA annuel moyen pour une institution américaine de plus de 5 Mds$ de revenus, décile supérieur au-delà de 100 M$.</t>
  </si>
  <si>
    <t xml:space="preserve">V38</t>
  </si>
  <si>
    <t xml:space="preserve">Coût annuel tous coûts confondus par ETP mobilisé, test de vraisemblance</t>
  </si>
  <si>
    <t xml:space="preserve">kBain</t>
  </si>
  <si>
    <t xml:space="preserve">dollars par ETP</t>
  </si>
  <si>
    <t xml:space="preserve">Bain &amp; Company, AI in Financial Services Survey, 16 décembre 2024, 109 institutions financières américaines : 22,1 M$ pour environ 270 ETP. Enquête antérieure de deux ans à la vague agentique et sans donnée agentique : le ratio se transpose comme test de cohérence, le montant absolu non.</t>
  </si>
  <si>
    <t xml:space="preserve">TRAÇABILITÉ DES VALEURS PAR DÉFAUT, garde-fou n° 6 de REX_ROI.md § 8.4</t>
  </si>
  <si>
    <t xml:space="preserve">Doit valoir 38. Compte les lignes portant un code de variable et une valeur.</t>
  </si>
  <si>
    <t xml:space="preserve">dont valeur par défaut sans source externe (hypothèse ou heuristique de l’étude)</t>
  </si>
  <si>
    <t xml:space="preserve">Cellules relevant du garde-fou n° 6 : aucune source externe ne porte la valeur.</t>
  </si>
  <si>
    <t xml:space="preserve">dont vide de publication documenté (constat mesuré du vide)</t>
  </si>
  <si>
    <t xml:space="preserve">La valeur n’est pas publiée, et l’absence de publication est elle-même sourcée.</t>
  </si>
  <si>
    <t xml:space="preserve">dont donnée propre à l’institution, à saisir</t>
  </si>
  <si>
    <t xml:space="preserve">Coût du capital, seuil de retour exigé, budget de portefeuille.</t>
  </si>
  <si>
    <t xml:space="preserve">Variables portant un chiffre publié par un tiers nommé</t>
  </si>
  <si>
    <t xml:space="preserve">Constat mesuré, enquête déclarative, benchmark, déclaratif, donnée réglementaire.</t>
  </si>
  <si>
    <t xml:space="preserve">Part des variables sans source externe</t>
  </si>
  <si>
    <t xml:space="preserve">Indicateur opposable du garde-fou n° 6.</t>
  </si>
  <si>
    <t xml:space="preserve">Seuil d’irrecevabilité en comité d’investissement</t>
  </si>
  <si>
    <t xml:space="preserve">Variable V36. Au-delà, le dossier ne se présente pas.</t>
  </si>
  <si>
    <t xml:space="preserve">Verdict calculé, il se met à jour avec vos saisies.</t>
  </si>
  <si>
    <t xml:space="preserve">Constat central de l’étude : ni coût de supervision en ETP, ni taux d’escalade, ni taux d’incident agentique, ni contrefactuel ne sont publiés.</t>
  </si>
  <si>
    <t xml:space="preserve">Contrôle de vraisemblance, utilisateurs formés impliqués par le budget de conduite du changement</t>
  </si>
  <si>
    <t xml:space="preserve">Coût de conduite du changement divisé par le produit des heures de formation par utilisateur et du coût horaire chargé.</t>
  </si>
  <si>
    <t xml:space="preserve">Contrôle de vraisemblance, coût annuel du dispositif par ETP mobilisé</t>
  </si>
  <si>
    <t xml:space="preserve">À comparer au ratio Bain de 82 000 $ par ETP mobilisé, variable V38, périmètre programme.</t>
  </si>
  <si>
    <t xml:space="preserve">SECTION 2  ·  LEVIERS DES QUATRE SCÉNARIOS  ·  valeurs saisies en bleu, cellules vertes reprenant la valeur de référence</t>
  </si>
  <si>
    <t xml:space="preserve">Paramètre</t>
  </si>
  <si>
    <t xml:space="preserve">S1  Dégradé, l’économie se retourne</t>
  </si>
  <si>
    <t xml:space="preserve">S2  Dégradé, le contrôle coûte ce qu’il doit</t>
  </si>
  <si>
    <t xml:space="preserve">S3  Référence</t>
  </si>
  <si>
    <t xml:space="preserve">S4  Favorable, bornes hautes</t>
  </si>
  <si>
    <t xml:space="preserve">Justification documentée du levier</t>
  </si>
  <si>
    <t xml:space="preserve">l_t1</t>
  </si>
  <si>
    <t xml:space="preserve">Temps unitaire humain sur un dossier autonome</t>
  </si>
  <si>
    <t xml:space="preserve">S2 : temps de validation par dossier majoré de 20 %, le contrôle prend le temps qu’il prend réellement.</t>
  </si>
  <si>
    <t xml:space="preserve">l_te</t>
  </si>
  <si>
    <t xml:space="preserve">Temps unitaire d’un dossier escaladé</t>
  </si>
  <si>
    <t xml:space="preserve">S4 : borne basse documentée, te = 1,0 × t0, reprise sans coût de reconstitution du contexte.</t>
  </si>
  <si>
    <t xml:space="preserve">l_ts</t>
  </si>
  <si>
    <t xml:space="preserve">Temps unitaire de relecture échantillonnée</t>
  </si>
  <si>
    <t xml:space="preserve">Inchangé dans les quatre scénarios, aucune source publiée ne permet de le faire varier.</t>
  </si>
  <si>
    <t xml:space="preserve">l_s</t>
  </si>
  <si>
    <t xml:space="preserve">Taux d’échantillonnage de relecture humaine</t>
  </si>
  <si>
    <t xml:space="preserve">S2 : taux doublé. S4 : borne basse de la fourchette 1 à 5 %.</t>
  </si>
  <si>
    <t xml:space="preserve">l_a</t>
  </si>
  <si>
    <t xml:space="preserve">Taux d’automatisation atteignable</t>
  </si>
  <si>
    <t xml:space="preserve">S1 : automatisation réduite de moitié. S4 : 80 %, borne haute Gradient Labs en déploiement mature, déclaratif éditeur.</t>
  </si>
  <si>
    <t xml:space="preserve">l_e</t>
  </si>
  <si>
    <t xml:space="preserve">Taux d’escalade</t>
  </si>
  <si>
    <t xml:space="preserve">S2 : taux doublé. S4 : 10 %, borne basse de la fourchette de travail.</t>
  </si>
  <si>
    <t xml:space="preserve">l_cinf</t>
  </si>
  <si>
    <t xml:space="preserve">Coût d’inférence par dossier pris</t>
  </si>
  <si>
    <t xml:space="preserve">S1 : coût doublé. S4 : coût divisé par deux, par mise en cache, réduction du périmètre outillé et spécialisation des agents.</t>
  </si>
  <si>
    <t xml:space="preserve">l_g</t>
  </si>
  <si>
    <t xml:space="preserve">Dérive annuelle du coût d’inférence</t>
  </si>
  <si>
    <t xml:space="preserve">S4 : borne basse de la fourchette 0 à +100 % par an. Jamais de valeur négative.</t>
  </si>
  <si>
    <t xml:space="preserve">l_d</t>
  </si>
  <si>
    <t xml:space="preserve">S4 : borne basse de la fourchette 0 à 10 % par an.</t>
  </si>
  <si>
    <t xml:space="preserve">l_delta</t>
  </si>
  <si>
    <t xml:space="preserve">Décote de contrefactuel</t>
  </si>
  <si>
    <t xml:space="preserve">S1 : borne haute 30 %. S4 : borne basse 20 %. Fourchette documentée 20 à 30 %.</t>
  </si>
  <si>
    <t xml:space="preserve">l_pech</t>
  </si>
  <si>
    <t xml:space="preserve">S1 : borne haute 60 % de la fourchette documentée 40 à 60 %.</t>
  </si>
  <si>
    <t xml:space="preserve">l_lam</t>
  </si>
  <si>
    <t xml:space="preserve">nombre</t>
  </si>
  <si>
    <t xml:space="preserve">S4 : un incident matériel tous les deux ans. Aucun taux d’incident agentique n’étant publié, la borne basse reste une hypothèse.</t>
  </si>
  <si>
    <t xml:space="preserve">l_Cinc</t>
  </si>
  <si>
    <t xml:space="preserve">S1 : coût doublé, ordre de grandeur d’une sanction cumulée à une remédiation.</t>
  </si>
  <si>
    <t xml:space="preserve">l_nEval</t>
  </si>
  <si>
    <t xml:space="preserve">S2 : évaluation majorée de moitié.</t>
  </si>
  <si>
    <t xml:space="preserve">l_nGouv</t>
  </si>
  <si>
    <t xml:space="preserve">Équivalents temps plein de gouvernance</t>
  </si>
  <si>
    <t xml:space="preserve">S2 : gouvernance majorée de moitié.</t>
  </si>
  <si>
    <t xml:space="preserve">SECTION 3  ·  PARAMÈTRES DES DIX CAS DU PORTEFEUILLE  ·  hypothèses de dimensionnement de l’étude, aucune ne provient d’une institution nommée</t>
  </si>
  <si>
    <t xml:space="preserve">N°</t>
  </si>
  <si>
    <t xml:space="preserve">Cas d’usage</t>
  </si>
  <si>
    <t xml:space="preserve">Identifiant</t>
  </si>
  <si>
    <t xml:space="preserve">Famille</t>
  </si>
  <si>
    <t xml:space="preserve">Volume annuel de dossiers</t>
  </si>
  <si>
    <t xml:space="preserve">Temps unitaire avant, t0</t>
  </si>
  <si>
    <t xml:space="preserve">Temps unitaire après, t1</t>
  </si>
  <si>
    <t xml:space="preserve">Origine du paramétrage</t>
  </si>
  <si>
    <t xml:space="preserve">Statut du paramétrage</t>
  </si>
  <si>
    <t xml:space="preserve">Temps unitaire escaladé, te</t>
  </si>
  <si>
    <t xml:space="preserve">Taux d’automatisation, a</t>
  </si>
  <si>
    <t xml:space="preserve">Taux d’escalade, e</t>
  </si>
  <si>
    <t xml:space="preserve">Coût d’inférence, cinf</t>
  </si>
  <si>
    <t xml:space="preserve">Coût d’intégration</t>
  </si>
  <si>
    <t xml:space="preserve">Conduite du changement</t>
  </si>
  <si>
    <t xml:space="preserve">ETP évaluation</t>
  </si>
  <si>
    <t xml:space="preserve">ETP gouvernance</t>
  </si>
  <si>
    <t xml:space="preserve">Probabilité d’échec</t>
  </si>
  <si>
    <t xml:space="preserve">Investigation LCB-FT</t>
  </si>
  <si>
    <t xml:space="preserve">FT-01</t>
  </si>
  <si>
    <t xml:space="preserve">Fonctions transverses</t>
  </si>
  <si>
    <t xml:space="preserve">Cas type de l’étude, repris à l’identique de la feuille 3. Volume, temps unitaires et taux d’escalade sont des hypothèses de l’étude.</t>
  </si>
  <si>
    <t xml:space="preserve">Service client conversationnel niveau 1</t>
  </si>
  <si>
    <t xml:space="preserve">BD-01</t>
  </si>
  <si>
    <t xml:space="preserve">Banque de détail</t>
  </si>
  <si>
    <t xml:space="preserve">Seul cas de l’univers dont le taux d’automatisation est mesuré et publié, Nubank, KDD 2026. Volumes et temps unitaires restent des hypothèses.</t>
  </si>
  <si>
    <t xml:space="preserve">taux d’automatisation mesuré, reste hypothèse</t>
  </si>
  <si>
    <t xml:space="preserve">Entrée en relation et KYC particuliers</t>
  </si>
  <si>
    <t xml:space="preserve">BD-04</t>
  </si>
  <si>
    <t xml:space="preserve">Processus long et fortement documentaire, exposé à la LCB-FT. Coût d’intégration porté à la borne haute des prix affichés d’éditeurs.</t>
  </si>
  <si>
    <t xml:space="preserve">Post-marché, réconciliation et suspens</t>
  </si>
  <si>
    <t xml:space="preserve">MC-04</t>
  </si>
  <si>
    <t xml:space="preserve">Marchés de capitaux</t>
  </si>
  <si>
    <t xml:space="preserve">Processus déterministe à forte volumétrie, régime CSDR à pénalités datées à la journée. Probabilité d’échec ramenée à la borne basse.</t>
  </si>
  <si>
    <t xml:space="preserve">Prise de déclaration de sinistre, canal vocal</t>
  </si>
  <si>
    <t xml:space="preserve">AS-04</t>
  </si>
  <si>
    <t xml:space="preserve">Assurance</t>
  </si>
  <si>
    <t xml:space="preserve">Canal vocal, coût d’inférence majoré par la transcription. Article 50 de l’AI Act applicable depuis le 2 août 2026.</t>
  </si>
  <si>
    <t xml:space="preserve">Investigations et exceptions de paiement</t>
  </si>
  <si>
    <t xml:space="preserve">PA-06</t>
  </si>
  <si>
    <t xml:space="preserve">Paiements</t>
  </si>
  <si>
    <t xml:space="preserve">Délais de réponse contraints par les règles de place. Le gain se lit en délai autant qu’en coût.</t>
  </si>
  <si>
    <t xml:space="preserve">Revue de presse négative et criblage nominatif</t>
  </si>
  <si>
    <t xml:space="preserve">FT-02</t>
  </si>
  <si>
    <t xml:space="preserve">Tâche courte et répétitive, coût d’inférence proche du prix catalogue par tâche du benchmark Aider.</t>
  </si>
  <si>
    <t xml:space="preserve">KYC entreprises et revue périodique</t>
  </si>
  <si>
    <t xml:space="preserve">BFI-06</t>
  </si>
  <si>
    <t xml:space="preserve">Banque de financement</t>
  </si>
  <si>
    <t xml:space="preserve">Faible volume et temps unitaire élevé : les coûts fixes d’évaluation et de gouvernance ne s’amortissent pas.</t>
  </si>
  <si>
    <t xml:space="preserve">Audit interne, planification et collecte de preuve</t>
  </si>
  <si>
    <t xml:space="preserve">FT-06</t>
  </si>
  <si>
    <t xml:space="preserve">Chiffré par transposition hors finance, Axiom et Legora. Volume interne trop faible pour porter le dispositif de contrôle.</t>
  </si>
  <si>
    <t xml:space="preserve">chiffré par transposition hors finance</t>
  </si>
  <si>
    <t xml:space="preserve">Traitement des courriers et pièces entrantes</t>
  </si>
  <si>
    <t xml:space="preserve">BD-18</t>
  </si>
  <si>
    <t xml:space="preserve">Aucun établissement nommé ne le publie. Fort volume, tâche brève, contrôle par échantillon sur le taux de mauvais rattachement.</t>
  </si>
  <si>
    <t xml:space="preserve">plausible non observé, hypothèse de l’étude</t>
  </si>
  <si>
    <t xml:space="preserve">SECTION 4  ·  PARAMÈTRES D’AFFICHAGE, DE TEST ET CONSTANTES DOCUMENTÉES  ·  hors des 38 variables du modèle</t>
  </si>
  <si>
    <t xml:space="preserve">Objet, source et statut</t>
  </si>
  <si>
    <t xml:space="preserve">choc2</t>
  </si>
  <si>
    <t xml:space="preserve">Facteur de choc, doublement</t>
  </si>
  <si>
    <t xml:space="preserve">×</t>
  </si>
  <si>
    <t xml:space="preserve">Test de robustesse obligatoire, REX_ROI.md § 8.2.</t>
  </si>
  <si>
    <t xml:space="preserve">chocD</t>
  </si>
  <si>
    <t xml:space="preserve">Facteur de choc, division par deux</t>
  </si>
  <si>
    <t xml:space="preserve">sgrid</t>
  </si>
  <si>
    <t xml:space="preserve">Pas de la grille du taux d’échantillonnage</t>
  </si>
  <si>
    <t xml:space="preserve">Paramètre d’affichage, sans effet sur le modèle.</t>
  </si>
  <si>
    <t xml:space="preserve">egrid</t>
  </si>
  <si>
    <t xml:space="preserve">Pas de la grille du taux d’escalade</t>
  </si>
  <si>
    <t xml:space="preserve">asens0</t>
  </si>
  <si>
    <t xml:space="preserve">Table de sensibilité, premier taux d’automatisation</t>
  </si>
  <si>
    <t xml:space="preserve">Paramètre d’affichage de la table de sensibilité.</t>
  </si>
  <si>
    <t xml:space="preserve">asensP</t>
  </si>
  <si>
    <t xml:space="preserve">Table de sensibilité, pas sur le taux d’automatisation</t>
  </si>
  <si>
    <t xml:space="preserve">esens0</t>
  </si>
  <si>
    <t xml:space="preserve">Table de sensibilité, premier taux d’escalade</t>
  </si>
  <si>
    <t xml:space="preserve">esensP</t>
  </si>
  <si>
    <t xml:space="preserve">Table de sensibilité, pas sur le taux d’escalade</t>
  </si>
  <si>
    <t xml:space="preserve">gdec</t>
  </si>
  <si>
    <t xml:space="preserve">Effet de la paire sur les tâches de décision, Hedges g</t>
  </si>
  <si>
    <t xml:space="preserve">Vaccaro et al., Nature Human Behaviour, 28 octobre 2024, IC 95 % de −0,44 à −0,10. Octroi, tarification, souscription, validation d’alerte.</t>
  </si>
  <si>
    <t xml:space="preserve">gcre</t>
  </si>
  <si>
    <t xml:space="preserve">Effet de la paire sur les tâches de création, Hedges g</t>
  </si>
  <si>
    <t xml:space="preserve">Vaccaro et al., Nature Human Behaviour, 28 octobre 2024, positif et non significatif. Note, synthèse, préparation de dossier.</t>
  </si>
  <si>
    <t xml:space="preserve">Sources complètes, intitulés, dates et adresses en feuille 8. Chiffres écartés par la liste d’interdiction de l’étude : aucun n’est employé dans ce classeur.</t>
  </si>
  <si>
    <t xml:space="preserve">ACADEWIE  ·  CLASSEUR DE CALCUL  ·  CALCULATEUR PAR CAS D’USAGE</t>
  </si>
  <si>
    <t xml:space="preserve">Feuille 3  ·  CALCULATEUR  ·  gain de coût, gain de délai, capacité libérée, coût total de possession, valeur actuelle nette, retour ajusté et délai de retour</t>
  </si>
  <si>
    <t xml:space="preserve">Aucune valeur saisie sur cette feuille. Toutes les formules référencent la feuille 2, Hypothèses. Cas étudié : le cas type de l’étude, investigation LCB-FT de premier niveau.</t>
  </si>
  <si>
    <t xml:space="preserve">1.  DÉCOMPOSITION DES VOLUMES ANNUELS</t>
  </si>
  <si>
    <t xml:space="preserve">Grandeur</t>
  </si>
  <si>
    <t xml:space="preserve">Formule du modèle et lecture</t>
  </si>
  <si>
    <t xml:space="preserve">Dossiers pris par l’agent</t>
  </si>
  <si>
    <t xml:space="preserve">Va</t>
  </si>
  <si>
    <t xml:space="preserve">Va = V × a</t>
  </si>
  <si>
    <t xml:space="preserve">Dossiers hors périmètre, traités comme avant</t>
  </si>
  <si>
    <t xml:space="preserve">Vh</t>
  </si>
  <si>
    <t xml:space="preserve">Vh = V × (1 − a). Ce volume ne change pas et n’est imputable à aucun poste du dispositif.</t>
  </si>
  <si>
    <t xml:space="preserve">Dossiers escaladés vers l’humain</t>
  </si>
  <si>
    <t xml:space="preserve">Ve</t>
  </si>
  <si>
    <t xml:space="preserve">Ve = Va × e. Aucune institution nommée ne publie de taux d’escalade.</t>
  </si>
  <si>
    <t xml:space="preserve">Dossiers traités en autonomie</t>
  </si>
  <si>
    <t xml:space="preserve">Vauto</t>
  </si>
  <si>
    <t xml:space="preserve">Vauto = Va × (1 − e)</t>
  </si>
  <si>
    <t xml:space="preserve">Dossiers audités par le juge automatique</t>
  </si>
  <si>
    <t xml:space="preserve">Vj</t>
  </si>
  <si>
    <t xml:space="preserve">Va × sauto. Nubank audite 100 % des conversations, KDD 2026.</t>
  </si>
  <si>
    <t xml:space="preserve">Dossiers relus par un humain au titre de l’échantillonnage</t>
  </si>
  <si>
    <t xml:space="preserve">Vs</t>
  </si>
  <si>
    <t xml:space="preserve">Vauto × s</t>
  </si>
  <si>
    <t xml:space="preserve">2.  COÛT OPÉRATOIRE DE RÉFÉRENCE, AVANT AGENT</t>
  </si>
  <si>
    <t xml:space="preserve">Coût opératoire annuel avant agent</t>
  </si>
  <si>
    <t xml:space="preserve">C0</t>
  </si>
  <si>
    <t xml:space="preserve">C0 = V × t0 × ch</t>
  </si>
  <si>
    <t xml:space="preserve">dont périmètre repris par l’agent</t>
  </si>
  <si>
    <t xml:space="preserve">Va × t0 × ch. C’est le traitement que le dispositif remplace.</t>
  </si>
  <si>
    <t xml:space="preserve">dont hors périmètre, inchangé</t>
  </si>
  <si>
    <t xml:space="preserve">Vh × t0 × ch. Reste au budget, quel que soit le dispositif.</t>
  </si>
  <si>
    <t xml:space="preserve">3.  COMPTE ANNUEL DU MODÈLE</t>
  </si>
  <si>
    <t xml:space="preserve">Ligne du modèle</t>
  </si>
  <si>
    <t xml:space="preserve">Année 1</t>
  </si>
  <si>
    <t xml:space="preserve">Année 2</t>
  </si>
  <si>
    <t xml:space="preserve">Année 3</t>
  </si>
  <si>
    <t xml:space="preserve">Année 4</t>
  </si>
  <si>
    <t xml:space="preserve">Année 5</t>
  </si>
  <si>
    <t xml:space="preserve">Cumul sur l’horizon</t>
  </si>
  <si>
    <t xml:space="preserve">Indice d’année</t>
  </si>
  <si>
    <t xml:space="preserve">n</t>
  </si>
  <si>
    <t xml:space="preserve">Indice structurel, calculé par la position de la colonne.</t>
  </si>
  <si>
    <t xml:space="preserve">Année comprise dans l’horizon de calcul</t>
  </si>
  <si>
    <t xml:space="preserve">Masque d’horizon. S est la variable V26.</t>
  </si>
  <si>
    <t xml:space="preserve">Coût d’inférence unitaire de l’année n</t>
  </si>
  <si>
    <t xml:space="preserve">cinf_n</t>
  </si>
  <si>
    <t xml:space="preserve">cinf × (1 + g)^(n − 1). Dérive positive par défaut, garde-fou n° 5.</t>
  </si>
  <si>
    <t xml:space="preserve">Coût des dossiers hors périmètre</t>
  </si>
  <si>
    <t xml:space="preserve">Vh × t0 × ch, inchangé d’une année sur l’autre.</t>
  </si>
  <si>
    <t xml:space="preserve">Coût de reprise des dossiers escaladés</t>
  </si>
  <si>
    <t xml:space="preserve">Ve × te × ch, avec te ≥ t0 par construction.</t>
  </si>
  <si>
    <t xml:space="preserve">Coût de la supervision résiduelle des dossiers autonomes</t>
  </si>
  <si>
    <t xml:space="preserve">Vauto × t1 × ch, validation, approbation et saisie du contrôle.</t>
  </si>
  <si>
    <t xml:space="preserve">Coût de la relecture échantillonnée</t>
  </si>
  <si>
    <t xml:space="preserve">Vauto × s × ts × ch. Garde-fou n° 3 : ce coût se chiffre avant la mise en production.</t>
  </si>
  <si>
    <t xml:space="preserve">Coût du juge automatique</t>
  </si>
  <si>
    <t xml:space="preserve">Va × sauto × cjuge. Nul par défaut, compris dans le coût d’inférence.</t>
  </si>
  <si>
    <t xml:space="preserve">Coût d’inférence</t>
  </si>
  <si>
    <t xml:space="preserve">Va × cinf_n, sur tous les dossiers pris, escalades comprises, garde-fou n° 4.</t>
  </si>
  <si>
    <t xml:space="preserve">Coût opératoire de l’année n</t>
  </si>
  <si>
    <t xml:space="preserve">C1_n</t>
  </si>
  <si>
    <t xml:space="preserve">Somme des six lignes ci-dessus.</t>
  </si>
  <si>
    <t xml:space="preserve">Gain opératoire brut, décoté du contrefactuel</t>
  </si>
  <si>
    <t xml:space="preserve">G_n</t>
  </si>
  <si>
    <t xml:space="preserve">(C0 − C1_n) × (1 − δ) × (1 − d)^(n − 1). Aucun cas public ne comporte de groupe témoin.</t>
  </si>
  <si>
    <t xml:space="preserve">Coûts de possession de l’année n</t>
  </si>
  <si>
    <t xml:space="preserve">T_n</t>
  </si>
  <si>
    <t xml:space="preserve">Ceval + Cgouv, plus l’intégration et la conduite du changement la première année.</t>
  </si>
  <si>
    <t xml:space="preserve">Coût de risque de l’année n</t>
  </si>
  <si>
    <t xml:space="preserve">R_n</t>
  </si>
  <si>
    <t xml:space="preserve">λ × Cinc. Aucun taux d’incident agentique n’est publié.</t>
  </si>
  <si>
    <t xml:space="preserve">Flux net de l’année n</t>
  </si>
  <si>
    <t xml:space="preserve">F_n</t>
  </si>
  <si>
    <t xml:space="preserve">F_n = G_n − T_n − R_n</t>
  </si>
  <si>
    <t xml:space="preserve">Flux net cumulé</t>
  </si>
  <si>
    <t xml:space="preserve">Cumul des flux nets, base du délai de retour.</t>
  </si>
  <si>
    <t xml:space="preserve">Facteur d’actualisation</t>
  </si>
  <si>
    <t xml:space="preserve">1 / (1 + r)^n, au coût du capital de l’institution.</t>
  </si>
  <si>
    <t xml:space="preserve">Flux net actualisé</t>
  </si>
  <si>
    <t xml:space="preserve">F_n / (1 + r)^n</t>
  </si>
  <si>
    <t xml:space="preserve">Retour atteint à la fin de l’année (1 si oui)</t>
  </si>
  <si>
    <t xml:space="preserve">Cumul des flux nets supérieur ou égal à l’investissement non récurrent.</t>
  </si>
  <si>
    <t xml:space="preserve">4.  GAIN DE COÛT</t>
  </si>
  <si>
    <t xml:space="preserve">Coût opératoire de référence, avant agent</t>
  </si>
  <si>
    <t xml:space="preserve">V × t0 × ch</t>
  </si>
  <si>
    <t xml:space="preserve">Coût opératoire de l’année 1, avec agent</t>
  </si>
  <si>
    <t xml:space="preserve">C1_1</t>
  </si>
  <si>
    <t xml:space="preserve">Hors périmètre, escalades, supervision résiduelle, échantillonnage, juge et inférence.</t>
  </si>
  <si>
    <t xml:space="preserve">Économie brute de l’année 1, avant décote</t>
  </si>
  <si>
    <t xml:space="preserve">C0 − C1_1</t>
  </si>
  <si>
    <t xml:space="preserve">Décote de contrefactuel appliquée</t>
  </si>
  <si>
    <t xml:space="preserve">δ</t>
  </si>
  <si>
    <t xml:space="preserve">Aucun cas public ne compare l’agent à un groupe témoin.</t>
  </si>
  <si>
    <t xml:space="preserve">Gain opératoire net de l’année 1</t>
  </si>
  <si>
    <t xml:space="preserve">G_1</t>
  </si>
  <si>
    <t xml:space="preserve">(C0 − C1_1) × (1 − δ)</t>
  </si>
  <si>
    <t xml:space="preserve">Gain net unitaire par dossier pris par l’agent</t>
  </si>
  <si>
    <t xml:space="preserve">k</t>
  </si>
  <si>
    <t xml:space="preserve">t0·ch − e·te·ch − (1 − e)·t1·ch − (1 − e)·s·ts·ch − cinf − sauto·cjuge. Si k est négatif, aucun taux d’automatisation ne rend le cas rentable.</t>
  </si>
  <si>
    <t xml:space="preserve">Seuil d’automatisation annulant le flux net de l’année 1</t>
  </si>
  <si>
    <t xml:space="preserve">a*</t>
  </si>
  <si>
    <t xml:space="preserve">a* = (T_1 + R_1) / (V × k × (1 − δ)). En deçà, le cas détruit de la valeur dès la première année.</t>
  </si>
  <si>
    <t xml:space="preserve">Seuil d’escalade annulant le flux net de l’année 1</t>
  </si>
  <si>
    <t xml:space="preserve">e*</t>
  </si>
  <si>
    <t xml:space="preserve">Taux d’escalade au-delà duquel le flux net de l’année 1 devient négatif, tous autres paramètres inchangés.</t>
  </si>
  <si>
    <t xml:space="preserve">5.  GAIN DE DÉLAI ET CAPACITÉ LIBÉRÉE</t>
  </si>
  <si>
    <t xml:space="preserve">Heures humaines consommées par le processus, avant agent</t>
  </si>
  <si>
    <t xml:space="preserve">V × t0</t>
  </si>
  <si>
    <t xml:space="preserve">Heures humaines consommées, année 1, avec agent</t>
  </si>
  <si>
    <t xml:space="preserve">Hors périmètre, escalades, supervision résiduelle et relecture échantillonnée.</t>
  </si>
  <si>
    <t xml:space="preserve">Heures humaines économisées par an</t>
  </si>
  <si>
    <t xml:space="preserve">Différence des deux lignes ci-dessus.</t>
  </si>
  <si>
    <t xml:space="preserve">Temps humain moyen par dossier, avant</t>
  </si>
  <si>
    <t xml:space="preserve">Temps humain moyen par dossier, après</t>
  </si>
  <si>
    <t xml:space="preserve">Heures humaines de l’année 1 rapportées au volume total.</t>
  </si>
  <si>
    <t xml:space="preserve">Facteur de compression du temps humain moyen, tous dossiers</t>
  </si>
  <si>
    <t xml:space="preserve">Sur l’ensemble du flux, hors périmètre compris.</t>
  </si>
  <si>
    <t xml:space="preserve">Facteur de compression sur le périmètre repris par l’agent</t>
  </si>
  <si>
    <t xml:space="preserve">t0 / t1. Les compressions publiées vont d’un facteur 20 à 300 sur des étapes bornées, en délai de bout en bout et non en temps travaillé.</t>
  </si>
  <si>
    <t xml:space="preserve">Capacité libérée en équivalents temps plein, année 1</t>
  </si>
  <si>
    <t xml:space="preserve">Heures économisées divisées par la durée annuelle de référence, 1 607 heures.</t>
  </si>
  <si>
    <t xml:space="preserve">Garde-fou n° 2 de REX_ROI.md § 8.4 : un équivalent temps plein libéré ne devient une économie qu’après décision d’organisation. Tant qu’il n’est ni redéployé ni supprimé, il s’inscrit en capacité libérée, jamais en gain. Une réduction de délai entre en variable de capacité, jamais en variable d’économie, tant qu’une décision d’organisation ne l’a pas convertie.</t>
  </si>
  <si>
    <t xml:space="preserve">6.  COÛT TOTAL DE POSSESSION SUR L’HORIZON, VENTILÉ PAR POSTE</t>
  </si>
  <si>
    <t xml:space="preserve">Poste de coût imputable au dispositif</t>
  </si>
  <si>
    <t xml:space="preserve">Récurrence</t>
  </si>
  <si>
    <t xml:space="preserve">Total sur l’horizon</t>
  </si>
  <si>
    <t xml:space="preserve">Part année 1</t>
  </si>
  <si>
    <t xml:space="preserve">Source et statut du poste</t>
  </si>
  <si>
    <t xml:space="preserve">Reprise des dossiers escaladés par l’humain</t>
  </si>
  <si>
    <t xml:space="preserve">annuelle</t>
  </si>
  <si>
    <t xml:space="preserve">aucune institution nommée ne publie de taux d’escalade, heuristique de l’étude sur te</t>
  </si>
  <si>
    <t xml:space="preserve">Supervision résiduelle des dossiers autonomes</t>
  </si>
  <si>
    <t xml:space="preserve">heuristique, temps à relever en pilote</t>
  </si>
  <si>
    <t xml:space="preserve">Relecture échantillonnée</t>
  </si>
  <si>
    <t xml:space="preserve">heuristique, aucune source publiée sur ts ni sur s</t>
  </si>
  <si>
    <t xml:space="preserve">Évaluation continue</t>
  </si>
  <si>
    <t xml:space="preserve">aucun chiffre publié, dimensionnement de l’étude, 1,5 ETP et juge automatique sur 100 % du flux</t>
  </si>
  <si>
    <t xml:space="preserve">Gouvernance et supervision</t>
  </si>
  <si>
    <t xml:space="preserve">aucun chiffre publié, ancrage indirect Capgemini, 48 % créent des rôles de supervision</t>
  </si>
  <si>
    <t xml:space="preserve">Coût de risque</t>
  </si>
  <si>
    <t xml:space="preserve">aucun taux d’incident agentique publié, hypothèse prudente, ancrages SEC et DORA</t>
  </si>
  <si>
    <t xml:space="preserve">Inférence</t>
  </si>
  <si>
    <t xml:space="preserve">croissante</t>
  </si>
  <si>
    <t xml:space="preserve">benchmark Aider juillet 2026 et surcharge de contexte, dérive Anthropic +117 % en quatorze mois</t>
  </si>
  <si>
    <t xml:space="preserve">Juge automatique</t>
  </si>
  <si>
    <t xml:space="preserve">aucun prix distinct publié, compris par défaut dans le coût d’inférence</t>
  </si>
  <si>
    <t xml:space="preserve">Intégration</t>
  </si>
  <si>
    <t xml:space="preserve">non récurrente</t>
  </si>
  <si>
    <t xml:space="preserve">prix affichés d’éditeurs, benchmark anonymisé, source intéressée</t>
  </si>
  <si>
    <t xml:space="preserve">Conduite du changement et formation</t>
  </si>
  <si>
    <t xml:space="preserve">BCG, AI at Work 2025, 10 635 répondants, seuil utile de 5 à 10 heures</t>
  </si>
  <si>
    <t xml:space="preserve">Total des coûts imputables au dispositif</t>
  </si>
  <si>
    <t xml:space="preserve">Hors dossiers hors périmètre, laissés inchangés.</t>
  </si>
  <si>
    <t xml:space="preserve">dont figurant au devis d’un fournisseur</t>
  </si>
  <si>
    <t xml:space="preserve">Intégration, conduite du changement et inférence de l’année 1.</t>
  </si>
  <si>
    <t xml:space="preserve">dont porté par l’institution seule</t>
  </si>
  <si>
    <t xml:space="preserve">Escalade, supervision résiduelle, échantillonnage, évaluation, gouvernance, juge et coût de risque. Aucun de ces postes ne dispose d’un chiffre publié par une institution financière nommée.</t>
  </si>
  <si>
    <t xml:space="preserve">Part de l’année 1 figurant au devis d’un fournisseur</t>
  </si>
  <si>
    <t xml:space="preserve">La négociation porte sur le complément.</t>
  </si>
  <si>
    <t xml:space="preserve">Part de l’inférence dans les coûts de l’année 1</t>
  </si>
  <si>
    <t xml:space="preserve">Un dossier économique qui négocie le prix du jeton négocie la plus petite ligne de sa facture.</t>
  </si>
  <si>
    <t xml:space="preserve">7.  INDICATEURS DE DÉCISION</t>
  </si>
  <si>
    <t xml:space="preserve">Valeur actuelle nette, non ajustée</t>
  </si>
  <si>
    <t xml:space="preserve">VAN</t>
  </si>
  <si>
    <t xml:space="preserve">Somme des flux nets actualisés sur l’horizon.</t>
  </si>
  <si>
    <t xml:space="preserve">Coûts engagés perdus en cas d’abandon</t>
  </si>
  <si>
    <t xml:space="preserve">Cperdu</t>
  </si>
  <si>
    <t xml:space="preserve">Hypothèse d’une année engagée avant abandon.</t>
  </si>
  <si>
    <t xml:space="preserve">Valeur actuelle nette ajustée du risque de projet</t>
  </si>
  <si>
    <t xml:space="preserve">VAN ajustée</t>
  </si>
  <si>
    <t xml:space="preserve">(1 − pech) × VAN − pech × Cperdu</t>
  </si>
  <si>
    <t xml:space="preserve">Base d’investissement actualisée</t>
  </si>
  <si>
    <t xml:space="preserve">Cint + Ccc + somme actualisée des coûts d’évaluation et de gouvernance.</t>
  </si>
  <si>
    <t xml:space="preserve">Retour ajusté du risque</t>
  </si>
  <si>
    <t xml:space="preserve">ROI ajusté</t>
  </si>
  <si>
    <t xml:space="preserve">VAN ajustée rapportée à la base d’investissement actualisée.</t>
  </si>
  <si>
    <t xml:space="preserve">Délai de retour</t>
  </si>
  <si>
    <t xml:space="preserve">Plus petite année dont le flux net cumulé couvre l’investissement non récurrent.</t>
  </si>
  <si>
    <t xml:space="preserve">Verdict au regard du seuil du comité d’investissement</t>
  </si>
  <si>
    <t xml:space="preserve">Seuil de la variable V34.</t>
  </si>
  <si>
    <t xml:space="preserve">Effet de la pondération par le risque de projet</t>
  </si>
  <si>
    <t xml:space="preserve">Rapport de la valeur actuelle nette non ajustée à la valeur ajustée.</t>
  </si>
  <si>
    <t xml:space="preserve">Rappel du garde-fou n° 1 : aucune cellule de ce classeur ne reçoit un pourcentage de productivité. Les entrées sont des volumes, des temps unitaires et des coûts horaires. Justification : METR mesure 43 points d’écart entre la productivité perçue et la productivité mesurée sur un essai contrôlé randomisé, 10 juillet 2025, protocole modifié le 24 février 2026.</t>
  </si>
  <si>
    <t xml:space="preserve">ACADEWIE  ·  CLASSEUR DE CALCUL  ·  PLACEMENT DU CONTRÔLE HUMAIN</t>
  </si>
  <si>
    <t xml:space="preserve">Feuille 4  ·  CONTRÔLE HUMAIN  ·  coût du contrôle selon l’échantillonnage, l’escalade et le coût de l’incident évité, taux optimal, critère de placement</t>
  </si>
  <si>
    <t xml:space="preserve">Aucune valeur saisie sur cette feuille. Critère de placement issu de la méta-analyse Vaccaro, Almaatouq et Malone, Nature Human Behaviour, 28 octobre 2024.</t>
  </si>
  <si>
    <t xml:space="preserve">1.  CRITÈRE DE PLACEMENT, MESURE COMPARÉE DES TROIS CONFIGURATIONS</t>
  </si>
  <si>
    <t xml:space="preserve">Critère opératoire : la supervision humaine crée de la valeur lorsque l’humain seul est meilleur que l’agent seul sur la tâche considérée, et en détruit lorsque l’agent seul est meilleur. Le dispositif de contrôle se conçoit donc tâche par tâche, à partir d’une mesure comparée des trois configurations, et non comme un principe uniforme.</t>
  </si>
  <si>
    <t xml:space="preserve">Élément</t>
  </si>
  <si>
    <t xml:space="preserve">Source, lecture et conséquence</t>
  </si>
  <si>
    <t xml:space="preserve">Sharma, ligne de base classifieur seul, 71,7 % sur 60 cas équilibrés, arXiv 2607.19266, 21 juillet 2026, données simulées.</t>
  </si>
  <si>
    <t xml:space="preserve">Sharma, agent d’investigation borné, 65,0 %. Sur 8 modifications de décision, 6 ont remplacé une décision correcte par une erreur.</t>
  </si>
  <si>
    <t xml:space="preserve">Écart entre les deux configurations seules</t>
  </si>
  <si>
    <t xml:space="preserve">qh − qa</t>
  </si>
  <si>
    <t xml:space="preserve">Positif : l’humain seul fait mieux. Négatif : l’agent seul fait mieux.</t>
  </si>
  <si>
    <t xml:space="preserve">Configuration seule dominante</t>
  </si>
  <si>
    <t xml:space="preserve">Mesurer les trois configurations sur un échantillon représentatif avant le pilote.</t>
  </si>
  <si>
    <t xml:space="preserve">Effet attendu de la paire humain plus agent</t>
  </si>
  <si>
    <t xml:space="preserve">Vaccaro et al. : g = +0,46 (IC 95 % 0,28 à 0,66) quand l’humain seul bat l’agent ; g = −0,54 (IC 95 % −0,71 à −0,37) dans le cas inverse.</t>
  </si>
  <si>
    <t xml:space="preserve">Position recommandée du contrôle humain</t>
  </si>
  <si>
    <t xml:space="preserve">Quand l’agent seul est meilleur, aucun humain ne se place sur l’acte individuel : le contrôle remonte sur la règle ou descend sur la population.</t>
  </si>
  <si>
    <t xml:space="preserve">Dispositif d’escalade recommandé</t>
  </si>
  <si>
    <t xml:space="preserve">La règle d’escalade la plus efficace observée est le désaccord entre deux systèmes, pas le jugement d’un humain sur une sortie unique. Elle coûte le prix d’un second modèle, pas celui d’un équivalent temps plein.</t>
  </si>
  <si>
    <t xml:space="preserve">Effet mesuré sur les tâches de décision</t>
  </si>
  <si>
    <t xml:space="preserve">Octroi, tarification, souscription, validation d’alerte : g = −0,27 (IC 95 % −0,44 à −0,10). Perte moyenne mesurée.</t>
  </si>
  <si>
    <t xml:space="preserve">Effet mesuré sur les tâches de création</t>
  </si>
  <si>
    <t xml:space="preserve">Note, synthèse, préparation de dossier : g = +0,19, positif et non significatif. Ni les explications fournies ni l’affichage du niveau de confiance ne modifient significativement le résultat.</t>
  </si>
  <si>
    <t xml:space="preserve">Trois fondements imposent un contrôle humain indépendamment de la performance, et son coût s’inscrit alors au budget de contrôle, jamais en gain : la fiabilité répétée, un agent réussissant une tâche une fois échouant souvent à la réussir huit fois de suite ; la production de la donnée d’évaluation, chaque validation ou rejet humain produisant une étiquette ; la responsabilité, article 26 paragraphe 2 de l’AI Act, pratique 10 du Conseil de stabilité financière, note FMI 2026/004, position ESMA sur la responsabilité de la direction quel que soit le degré d’automatisation.</t>
  </si>
  <si>
    <t xml:space="preserve">2.  COÛT DU CONTRÔLE SELON LE TAUX D’ÉCHANTILLONNAGE ET LE COÛT DE L’INCIDENT ÉVITÉ</t>
  </si>
  <si>
    <t xml:space="preserve">Taux d’échantillonnage</t>
  </si>
  <si>
    <t xml:space="preserve">Dossiers relus</t>
  </si>
  <si>
    <t xml:space="preserve">Heures de relecture</t>
  </si>
  <si>
    <t xml:space="preserve">Coût annuel de la relecture</t>
  </si>
  <si>
    <t xml:space="preserve">Erreurs de l’agent signalées</t>
  </si>
  <si>
    <t xml:space="preserve">Valeur des incidents évités</t>
  </si>
  <si>
    <t xml:space="preserve">Valeur nette du contrôle</t>
  </si>
  <si>
    <t xml:space="preserve">Coût par erreur signalée</t>
  </si>
  <si>
    <t xml:space="preserve">Coût annuel de la relecture au taux retenu</t>
  </si>
  <si>
    <t xml:space="preserve">Vauto × s × ts × ch. Garde-fou n° 3 : le coût d’échantillonnage se chiffre avant la mise en production.</t>
  </si>
  <si>
    <t xml:space="preserve">Valeur marginale d’un point d’échantillonnage</t>
  </si>
  <si>
    <t xml:space="preserve">Dérivée de la valeur nette par rapport au taux d’échantillonnage. Le modèle est linéaire : l’optimum est en coin.</t>
  </si>
  <si>
    <t xml:space="preserve">Taux d’échantillonnage optimal au sens économique</t>
  </si>
  <si>
    <t xml:space="preserve">s*</t>
  </si>
  <si>
    <t xml:space="preserve">100 % si la valeur marginale est positive, 0 % sinon. Une valeur nulle ne signifie pas qu’il faut retirer le contrôle : elle signifie que sa justification est de conformité et d’imputabilité, non de performance.</t>
  </si>
  <si>
    <t xml:space="preserve">Coût d’incident évité au-delà duquel la relecture humaine s’autofinance</t>
  </si>
  <si>
    <t xml:space="preserve">Cevit*</t>
  </si>
  <si>
    <t xml:space="preserve">Seuil indépendant du taux d’échantillonnage, le modèle étant linéaire des deux côtés. En deçà de ce seuil, la relecture humaine coûte plus qu’elle ne rapporte.</t>
  </si>
  <si>
    <t xml:space="preserve">Rapport entre le seuil et le coût d’incident retenu</t>
  </si>
  <si>
    <t xml:space="preserve">Au-dessus de 1, la relecture humaine relève du budget de conformité et non du dossier économique.</t>
  </si>
  <si>
    <t xml:space="preserve">Part du coût de contrôle dans les coûts imputables de l’année 1</t>
  </si>
  <si>
    <t xml:space="preserve">Escalade, supervision résiduelle et relecture échantillonnée, rapportées au total de l’année 1.</t>
  </si>
  <si>
    <t xml:space="preserve">Lecture obligatoire : la valeur nette du contrôle est linéaire en taux d’échantillonnage, l’optimum est donc en coin. Le résultat utile au comité n’est pas le taux, c’est le seuil de coût d’incident évité au-delà duquel la relecture s’autofinance. Aucune institution financière nommée ne publie de taux d’échantillonnage de contrôle, de temps unitaire de relecture, d’effectif de deuxième ligne affecté ni de coût par dossier supervisé, au 11 août 2026.</t>
  </si>
  <si>
    <t xml:space="preserve">3.  COÛT DU CONTRÔLE SELON LE TAUX D’ESCALADE</t>
  </si>
  <si>
    <t xml:space="preserve">Dossiers escaladés</t>
  </si>
  <si>
    <t xml:space="preserve">Coût de reprise des escalades</t>
  </si>
  <si>
    <t xml:space="preserve">Coût de la supervision résiduelle</t>
  </si>
  <si>
    <t xml:space="preserve">Coût total du contrôle humain dans le flux</t>
  </si>
  <si>
    <t xml:space="preserve">Flux net de l’année 1</t>
  </si>
  <si>
    <t xml:space="preserve">Taux d’escalade annulant le flux net de l’année 1</t>
  </si>
  <si>
    <t xml:space="preserve">Au-delà, le dispositif détruit de la valeur dès la première année, tous autres paramètres inchangés.</t>
  </si>
  <si>
    <t xml:space="preserve">Marge de sécurité sur le taux d’escalade</t>
  </si>
  <si>
    <t xml:space="preserve">Écart entre le taux annulant le flux net et le taux retenu. Cette marge est la première grandeur à mesurer en pilote.</t>
  </si>
  <si>
    <t xml:space="preserve">Le retour ajusté affiché dans la colonne de droite est calculé à l’année 1 seule, pour isoler l’effet du taux d’escalade. Le retour complet sur l’horizon figure en feuille 3 et en feuille 5. Doubler le taux d’escalade déplace la valeur actuelle nette ajustée bien davantage que doubler le coût d’inférence : le rapport exact figure au test de robustesse de la feuille 5.</t>
  </si>
  <si>
    <t xml:space="preserve">ACADEWIE  ·  CLASSEUR DE CALCUL  ·  SCÉNARIOS ET TEST DE ROBUSTESSE</t>
  </si>
  <si>
    <t xml:space="preserve">Feuille 5  ·  SCÉNARIOS  ·  quatre scénarios dont deux dégradés, quatre chocs obligatoires, table de sensibilité à deux entrées</t>
  </si>
  <si>
    <t xml:space="preserve">Aucune valeur saisie sur cette feuille. Les leviers des quatre scénarios se règlent en feuille 2, section 2.</t>
  </si>
  <si>
    <t xml:space="preserve">1.  DÉFINITION DES QUATRE SCÉNARIOS</t>
  </si>
  <si>
    <t xml:space="preserve">S1. Dégradé, l’économie se retourne</t>
  </si>
  <si>
    <t xml:space="preserve">S2. Dégradé, le contrôle coûte ce qu’il doit</t>
  </si>
  <si>
    <t xml:space="preserve">S3. Référence</t>
  </si>
  <si>
    <t xml:space="preserve">S4. Favorable, bornes hautes documentées</t>
  </si>
  <si>
    <t xml:space="preserve">Justification documentée</t>
  </si>
  <si>
    <t xml:space="preserve">Ce que le scénario suppose</t>
  </si>
  <si>
    <t xml:space="preserve">Automatisation réduite de moitié, coût d’inférence et coût d’incident doublés, probabilité d’échec portée à 60 %, décote de contrefactuel à 30 %.</t>
  </si>
  <si>
    <t xml:space="preserve">Taux d’escalade et taux d’échantillonnage doublés, évaluation et gouvernance majorées de moitié, temps de validation par dossier majoré de 20 %.</t>
  </si>
  <si>
    <t xml:space="preserve">Valeurs par défaut du modèle, décote de contrefactuel de 25 % et probabilité d’échec de 45 % comprises.</t>
  </si>
  <si>
    <t xml:space="preserve">Automatisation à 80 %, escalade à 10 %, coût d’inférence divisé par deux, décote de contrefactuel à 20 %, dérive d’inférence et érosion nulles, reprise d’escalade sans surcoût, échantillonnage à 1 %, un incident tous les deux ans.</t>
  </si>
  <si>
    <t xml:space="preserve">Les deux scénarios dégradés sont obligatoires : celui où le contrôle coûte ce qu’il doit coûter, celui où l’économie se retourne.</t>
  </si>
  <si>
    <t xml:space="preserve">Temps unitaire sur un dossier autonome</t>
  </si>
  <si>
    <t xml:space="preserve">Paramètres communs aux quatre scénarios, repris de la feuille 2</t>
  </si>
  <si>
    <t xml:space="preserve">Coût horaire chargé</t>
  </si>
  <si>
    <t xml:space="preserve">Heures annuelles par équivalent temps plein</t>
  </si>
  <si>
    <t xml:space="preserve">Taux d’audit par juge automatique</t>
  </si>
  <si>
    <t xml:space="preserve">Coût du juge automatique par dossier</t>
  </si>
  <si>
    <t xml:space="preserve">Coût annuel chargé d’un équivalent temps plein</t>
  </si>
  <si>
    <t xml:space="preserve">Taux d’actualisation</t>
  </si>
  <si>
    <t xml:space="preserve">2.  RÉSULTATS DES QUATRE SCÉNARIOS</t>
  </si>
  <si>
    <t xml:space="preserve">Moteur</t>
  </si>
  <si>
    <t xml:space="preserve">V × a</t>
  </si>
  <si>
    <t xml:space="preserve">Dossiers hors périmètre</t>
  </si>
  <si>
    <t xml:space="preserve">V × (1 − a)</t>
  </si>
  <si>
    <t xml:space="preserve">Va × e</t>
  </si>
  <si>
    <t xml:space="preserve">Va × (1 − e)</t>
  </si>
  <si>
    <t xml:space="preserve">Coût opératoire de référence</t>
  </si>
  <si>
    <t xml:space="preserve">V × t0 × ch, identique dans les quatre scénarios</t>
  </si>
  <si>
    <t xml:space="preserve">Flux net par année, F_n = G_n − T_n − R_n</t>
  </si>
  <si>
    <t xml:space="preserve">Flux net, année 1</t>
  </si>
  <si>
    <t xml:space="preserve">Forme fermée : C0 − C1_n = V·a·(t0·ch − e·te·ch − (1 − e)·t1·ch − (1 − e)·s·ts·ch − cinf_n − sauto·cjuge)</t>
  </si>
  <si>
    <t xml:space="preserve">Flux net, année 2</t>
  </si>
  <si>
    <t xml:space="preserve">Flux net, année 3</t>
  </si>
  <si>
    <t xml:space="preserve">Flux net, année 4</t>
  </si>
  <si>
    <t xml:space="preserve">Flux net, année 5</t>
  </si>
  <si>
    <t xml:space="preserve">Flux net cumulé et atteinte du retour</t>
  </si>
  <si>
    <t xml:space="preserve">Flux net cumulé, fin d’année 1</t>
  </si>
  <si>
    <t xml:space="preserve">Flux net cumulé, fin d’année 2</t>
  </si>
  <si>
    <t xml:space="preserve">Flux net cumulé, fin d’année 3</t>
  </si>
  <si>
    <t xml:space="preserve">Flux net cumulé, fin d’année 4</t>
  </si>
  <si>
    <t xml:space="preserve">Flux net cumulé, fin d’année 5</t>
  </si>
  <si>
    <t xml:space="preserve">Retour atteint à la fin de l’année 1</t>
  </si>
  <si>
    <t xml:space="preserve">Retour atteint à la fin de l’année 2</t>
  </si>
  <si>
    <t xml:space="preserve">Retour atteint à la fin de l’année 3</t>
  </si>
  <si>
    <t xml:space="preserve">Retour atteint à la fin de l’année 4</t>
  </si>
  <si>
    <t xml:space="preserve">Retour atteint à la fin de l’année 5</t>
  </si>
  <si>
    <t xml:space="preserve">Indicateurs de décision</t>
  </si>
  <si>
    <t xml:space="preserve">Somme des flux nets actualisés au coût du capital.</t>
  </si>
  <si>
    <t xml:space="preserve">Cint + Ccc + somme actualisée des coûts d’évaluation et de gouvernance sur l’horizon.</t>
  </si>
  <si>
    <t xml:space="preserve">Valeur actuelle nette ajustée rapportée à la base d’investissement actualisée.</t>
  </si>
  <si>
    <t xml:space="preserve">Heures humaines économipées divisées par la durée annuelle de référence. Capacité, jamais économie.</t>
  </si>
  <si>
    <t xml:space="preserve">Coûts de l’année 1 imputables au dispositif</t>
  </si>
  <si>
    <t xml:space="preserve">Escalade, supervision résiduelle, échantillonnage, inférence, juge, intégration, conduite du changement, évaluation, gouvernance et coût de risque.</t>
  </si>
  <si>
    <t xml:space="preserve">Écart de valeur actuelle nette ajustée au scénario de référence</t>
  </si>
  <si>
    <t xml:space="preserve">Le scénario de référence est la colonne S3.</t>
  </si>
  <si>
    <t xml:space="preserve">Lecture : le dossier n’est présentable en comité que si la valeur actuelle nette ajustée reste positive dans les deux scénarios dégradés et dans les quatre chocs du test de robustesse ci-dessous. Le test de robustesse est la pièce à joindre au dossier, plus encore que le résultat central.</t>
  </si>
  <si>
    <t xml:space="preserve">3.  TEST DE ROBUSTESSE OBLIGATOIRE, QUATRE CHOCS APPLIQUÉS AU SCÉNARIO DE RÉFÉRENCE</t>
  </si>
  <si>
    <t xml:space="preserve">Moteur de calcul par année, ne pas modifier</t>
  </si>
  <si>
    <t xml:space="preserve">Années 1 à 5 en colonnes C à G.</t>
  </si>
  <si>
    <t xml:space="preserve">Année comprise dans l’horizon</t>
  </si>
  <si>
    <t xml:space="preserve">Croissance du coût d’inférence</t>
  </si>
  <si>
    <t xml:space="preserve">Érosion du gain unitaire</t>
  </si>
  <si>
    <t xml:space="preserve">Choc appliqué</t>
  </si>
  <si>
    <t xml:space="preserve">Valeur choquée</t>
  </si>
  <si>
    <t xml:space="preserve">Valeur actuelle nette ajustée</t>
  </si>
  <si>
    <t xml:space="preserve">Écart au scénario de référence</t>
  </si>
  <si>
    <t xml:space="preserve">Retour ajusté</t>
  </si>
  <si>
    <t xml:space="preserve">Rang de sensibilité</t>
  </si>
  <si>
    <t xml:space="preserve">Verdict</t>
  </si>
  <si>
    <t xml:space="preserve">Taux d’escalade doublé</t>
  </si>
  <si>
    <t xml:space="preserve">Taux d’échantillonnage doublé</t>
  </si>
  <si>
    <t xml:space="preserve">Coût d’inférence doublé</t>
  </si>
  <si>
    <t xml:space="preserve">Taux d’automatisation réduit de moitié</t>
  </si>
  <si>
    <t xml:space="preserve">Verdict d’ensemble du test de robustesse</t>
  </si>
  <si>
    <t xml:space="preserve">Valeur actuelle nette ajustée la plus basse des quatre chocs</t>
  </si>
  <si>
    <t xml:space="preserve">Rapport entre le choc sur le taux d’escalade et le choc sur le coût d’inférence</t>
  </si>
  <si>
    <t xml:space="preserve">Doubler le taux d’escalade coûte cette fois plus de valeur actuelle nette ajustée que doubler le coût d’inférence. C’est l’argument à porter au fournisseur : le taux d’escalade doit être mesuré et restitué chaque mois, par clause contractuelle.</t>
  </si>
  <si>
    <t xml:space="preserve">Rapport entre le choc le plus coûteux et le choc le moins coûteux</t>
  </si>
  <si>
    <t xml:space="preserve">Le rang de sensibilité désigne les deux variables les plus déterminantes, reprises en abscisse et en ordonnée de la table ci-dessous.</t>
  </si>
  <si>
    <t xml:space="preserve">4.  TABLE DE SENSIBILITÉ À DEUX ENTRÉES, RETOUR AJUSTÉ DU RISQUE</t>
  </si>
  <si>
    <t xml:space="preserve">Les deux variables retenues sont celles dont le choc déplace le plus la valeur actuelle nette ajustée, au vu du rang de sensibilité ci-dessus : le taux d’automatisation atteignable et le taux d’escalade. Tous les autres paramètres restent aux valeurs du scénario de référence.</t>
  </si>
  <si>
    <t xml:space="preserve">Taux d’automatisation  ↓   /   Taux d’escalade  →</t>
  </si>
  <si>
    <t xml:space="preserve">Lecture : chaque cellule donne le retour ajusté du risque, valeur actuelle nette ajustée rapportée à la base d’investissement actualisée. Le seuil du comité d’investissement figure en variable V34. La table est établie à l’horizon de calcul en vigueur en feuille 2.</t>
  </si>
  <si>
    <t xml:space="preserve">ACADEWIE  ·  CLASSEUR DE CALCUL  ·  PORTEFEUILLE DE DIX CAS</t>
  </si>
  <si>
    <t xml:space="preserve">Feuille 6  ·  PORTEFEUILLE  ·  retour agrégé, classement par retour et par délai, rang à partir duquel un cas supplémentaire cesse d’être rentable</t>
  </si>
  <si>
    <t xml:space="preserve">Aucune valeur saisie sur cette feuille. Les dix cas se paramètrent en feuille 2, section 3. Aucun paramètre ne provient d’une institution nommée.</t>
  </si>
  <si>
    <t xml:space="preserve">MOTEUR DE CALCUL PAR ANNÉE, NE PAS MODIFIER</t>
  </si>
  <si>
    <t xml:space="preserve">Première année (1 si oui)</t>
  </si>
  <si>
    <t xml:space="preserve">ZONE DE CALCUL, FLUX NET ANNUEL PAR CAS</t>
  </si>
  <si>
    <t xml:space="preserve">Flux net an 1</t>
  </si>
  <si>
    <t xml:space="preserve">Flux net an 2</t>
  </si>
  <si>
    <t xml:space="preserve">Flux net an 3</t>
  </si>
  <si>
    <t xml:space="preserve">Flux net an 4</t>
  </si>
  <si>
    <t xml:space="preserve">Flux net an 5</t>
  </si>
  <si>
    <t xml:space="preserve">Cumul an 1</t>
  </si>
  <si>
    <t xml:space="preserve">Cumul an 2</t>
  </si>
  <si>
    <t xml:space="preserve">Cumul an 3</t>
  </si>
  <si>
    <t xml:space="preserve">Cumul an 4</t>
  </si>
  <si>
    <t xml:space="preserve">Cumul an 5</t>
  </si>
  <si>
    <t xml:space="preserve">Retour an 1</t>
  </si>
  <si>
    <t xml:space="preserve">Retour an 2</t>
  </si>
  <si>
    <t xml:space="preserve">Retour an 3</t>
  </si>
  <si>
    <t xml:space="preserve">Retour an 4</t>
  </si>
  <si>
    <t xml:space="preserve">Retour an 5</t>
  </si>
  <si>
    <t xml:space="preserve">1.  RÉSULTAT PAR CAS</t>
  </si>
  <si>
    <t xml:space="preserve">Rang</t>
  </si>
  <si>
    <t xml:space="preserve">Volume annuel</t>
  </si>
  <si>
    <t xml:space="preserve">Taux d’auto.</t>
  </si>
  <si>
    <t xml:space="preserve">Taux d’escal.</t>
  </si>
  <si>
    <t xml:space="preserve">Valeur actuelle nette</t>
  </si>
  <si>
    <t xml:space="preserve">Capacité libérée</t>
  </si>
  <si>
    <t xml:space="preserve">Coût de l’année 1</t>
  </si>
  <si>
    <t xml:space="preserve">Base d’investissement</t>
  </si>
  <si>
    <t xml:space="preserve">Rang par retour</t>
  </si>
  <si>
    <t xml:space="preserve">Rang par délai</t>
  </si>
  <si>
    <t xml:space="preserve">Clé de tri du délai</t>
  </si>
  <si>
    <t xml:space="preserve">2.  RETOUR AGRÉGÉ DU PORTEFEUILLE</t>
  </si>
  <si>
    <t xml:space="preserve">Valeur actuelle nette ajustée agrégée</t>
  </si>
  <si>
    <t xml:space="preserve">Somme des dix cas.</t>
  </si>
  <si>
    <t xml:space="preserve">Base d’investissement actualisée agrégée</t>
  </si>
  <si>
    <t xml:space="preserve">Somme des bases d’investissement actualisées.</t>
  </si>
  <si>
    <t xml:space="preserve">Retour ajusté agrégé du portefeuille</t>
  </si>
  <si>
    <t xml:space="preserve">Valeur actuelle nette ajustée agrégée rapportée à la base d’investissement agrégée. Ce n’est pas la moyenne des retours unitaires.</t>
  </si>
  <si>
    <t xml:space="preserve">Coût de l’année 1 pour l’ensemble du portefeuille</t>
  </si>
  <si>
    <t xml:space="preserve">À comparer au budget annuel disponible, variable V37.</t>
  </si>
  <si>
    <t xml:space="preserve">Capacité libérée agrégée</t>
  </si>
  <si>
    <t xml:space="preserve">Capacité, jamais économie, tant qu’une décision d’organisation ne l’a pas convertie.</t>
  </si>
  <si>
    <t xml:space="preserve">Cas dont la valeur actuelle nette ajustée est négative</t>
  </si>
  <si>
    <t xml:space="preserve">Ces cas détruisent de la valeur sur l’horizon retenu.</t>
  </si>
  <si>
    <t xml:space="preserve">Cas dont le retour ajusté atteint le seuil du comité</t>
  </si>
  <si>
    <t xml:space="preserve">3.  CLASSEMENT PAR RETOUR ET RANG DE DÉCROCHAGE</t>
  </si>
  <si>
    <t xml:space="preserve">Cumul de valeur actuelle nette ajustée</t>
  </si>
  <si>
    <t xml:space="preserve">Cumul de base d’investissement</t>
  </si>
  <si>
    <t xml:space="preserve">Retour agrégé cumulé</t>
  </si>
  <si>
    <t xml:space="preserve">Cumul du coût de l’année 1</t>
  </si>
  <si>
    <t xml:space="preserve">Non rentable</t>
  </si>
  <si>
    <t xml:space="preserve">Sous le seuil</t>
  </si>
  <si>
    <t xml:space="preserve">Budget dépassé</t>
  </si>
  <si>
    <t xml:space="preserve">4.  RANG À PARTIR DUQUEL UN CAS SUPPLÉMENTAIRE CESSE D’ÊTRE RENTABLE</t>
  </si>
  <si>
    <t xml:space="preserve">Rang de rentabilité marginale</t>
  </si>
  <si>
    <t xml:space="preserve">Premier rang dont la valeur actuelle nette ajustée propre est nulle ou négative. Au-delà, chaque cas retranche de la valeur.</t>
  </si>
  <si>
    <t xml:space="preserve">Rang de décrochage du retour agrégé</t>
  </si>
  <si>
    <t xml:space="preserve">Premier rang où le retour agrégé cumulé passe sous le seuil exigé par le comité, variable V34.</t>
  </si>
  <si>
    <t xml:space="preserve">Rang de saturation budgétaire</t>
  </si>
  <si>
    <t xml:space="preserve">Premier rang dont le cumul de coût de l’année 1 dépasse le budget annuel disponible, variable V37.</t>
  </si>
  <si>
    <t xml:space="preserve">Rang de saturation du dispositif de gouvernance</t>
  </si>
  <si>
    <t xml:space="preserve">Nombre de cas simultanés portables par le dispositif de gouvernance, variable V35, augmenté de un.</t>
  </si>
  <si>
    <t xml:space="preserve">Rang limite retenu</t>
  </si>
  <si>
    <t xml:space="preserve">Le plus contraignant des quatre. Le portefeuille s’arrête au rang précédent.</t>
  </si>
  <si>
    <t xml:space="preserve">Nombre de cas retenus au portefeuille</t>
  </si>
  <si>
    <t xml:space="preserve">Rang limite retenu diminué de un, borné par le nombre de cas paramétrés.</t>
  </si>
  <si>
    <t xml:space="preserve">Motif du décrochage</t>
  </si>
  <si>
    <t xml:space="preserve">Les dix cas sont des hypothèses de dimensionnement de l’étude. Aucun paramètre ne provient d’une institution financière nommée : ni volume, ni temps unitaire, ni taux d’escalade, ni coût d’intégration. Le classement n’a de valeur qu’une fois vos propres volumes et vos propres relevés de temps saisis en feuille 2, section 3.</t>
  </si>
  <si>
    <t xml:space="preserve">ACADEWIE  ·  CLASSEUR DE CALCUL  ·  UNIVERS DES 120 CAS D’USAGE</t>
  </si>
  <si>
    <t xml:space="preserve">Feuille 7  ·  UNIVERS DES CAS  ·  tableau maître de l’atlas, statut de preuve, gain de coût, gain de délai, autonomie, point de contrôle humain, difficulté et régime réglementaire</t>
  </si>
  <si>
    <t xml:space="preserve">Filtres actifs sur la ligne d’en-tête. Statut normalisé, scores de gain, écart et exposition Annexe III sont calculés par formule à partir des colonnes de l’atlas et du barème placé à droite du tableau.</t>
  </si>
  <si>
    <t xml:space="preserve">Dans l’atlas 1</t>
  </si>
  <si>
    <t xml:space="preserve">Processus</t>
  </si>
  <si>
    <t xml:space="preserve">Ce que fait l’agent</t>
  </si>
  <si>
    <t xml:space="preserve">Autonomie atteignable</t>
  </si>
  <si>
    <t xml:space="preserve">Autonomie observée</t>
  </si>
  <si>
    <t xml:space="preserve">Point de contrôle humain</t>
  </si>
  <si>
    <t xml:space="preserve">Gain de coût</t>
  </si>
  <si>
    <t xml:space="preserve">Gain de délai</t>
  </si>
  <si>
    <t xml:space="preserve">Score coût</t>
  </si>
  <si>
    <t xml:space="preserve">Score délai</t>
  </si>
  <si>
    <t xml:space="preserve">Écart délai − coût</t>
  </si>
  <si>
    <t xml:space="preserve">Difficulté</t>
  </si>
  <si>
    <t xml:space="preserve">Score de difficulté</t>
  </si>
  <si>
    <t xml:space="preserve">Régime réglementaire</t>
  </si>
  <si>
    <t xml:space="preserve">Statut de réalité</t>
  </si>
  <si>
    <t xml:space="preserve">Statut normalisé</t>
  </si>
  <si>
    <t xml:space="preserve">Exposition Annexe III</t>
  </si>
  <si>
    <t xml:space="preserve">Cas nommé</t>
  </si>
  <si>
    <t xml:space="preserve">Source, date, statut de preuve</t>
  </si>
  <si>
    <t xml:space="preserve">Adresse de la source</t>
  </si>
  <si>
    <t xml:space="preserve">Barème ordinal du gain</t>
  </si>
  <si>
    <t xml:space="preserve">Score</t>
  </si>
  <si>
    <t xml:space="preserve">oui</t>
  </si>
  <si>
    <t xml:space="preserve">Qualifie, interroge les systèmes, répond, exécute l’acte simple, escalade hors périmètre</t>
  </si>
  <si>
    <t xml:space="preserve">N3</t>
  </si>
  <si>
    <t xml:space="preserve">Escalade paramétrée par domaine ; audit de 100 % des conversations par juge automatique</t>
  </si>
  <si>
    <t xml:space="preserve">fort</t>
  </si>
  <si>
    <t xml:space="preserve">très fort</t>
  </si>
  <si>
    <t xml:space="preserve">4</t>
  </si>
  <si>
    <t xml:space="preserve">Art. 50 AI Act ; Consumer Duty ; DORA</t>
  </si>
  <si>
    <t xml:space="preserve">D+C</t>
  </si>
  <si>
    <t xml:space="preserve">Nubank, 5 domaines</t>
  </si>
  <si>
    <t xml:space="preserve">arXiv 2606.08867, 2026, MESURÉ</t>
  </si>
  <si>
    <t xml:space="preserve">https://arxiv.org/abs/2606.08867</t>
  </si>
  <si>
    <t xml:space="preserve">nul</t>
  </si>
  <si>
    <t xml:space="preserve">BD-02</t>
  </si>
  <si>
    <t xml:space="preserve">Assistance temps réel au téléconseiller</t>
  </si>
  <si>
    <t xml:space="preserve">Résume le motif d’appel, propose l’étape suivante pendant l’appel</t>
  </si>
  <si>
    <t xml:space="preserve">N1</t>
  </si>
  <si>
    <t xml:space="preserve">Le conseiller décide, l’agent ne parle jamais au client</t>
  </si>
  <si>
    <t xml:space="preserve">moyen</t>
  </si>
  <si>
    <t xml:space="preserve">2</t>
  </si>
  <si>
    <t xml:space="preserve">Hors Annexe III ; RGPD</t>
  </si>
  <si>
    <t xml:space="preserve">Bank of America, EricaAssist</t>
  </si>
  <si>
    <t xml:space="preserve">BofA, 21 juillet 2026, DÉCLARATIF</t>
  </si>
  <si>
    <t xml:space="preserve">https://newsroom.bankofamerica.com/content/newsroom/press-releases/2026/07/bank-of-america-enhances-ericaassist-with-generative-ai-to-help-.html</t>
  </si>
  <si>
    <t xml:space="preserve">pas de gain</t>
  </si>
  <si>
    <t xml:space="preserve">BD-03</t>
  </si>
  <si>
    <t xml:space="preserve">Traitement des réclamations</t>
  </si>
  <si>
    <t xml:space="preserve">Reconstitue le dossier multi-systèmes, qualifie le grief, propose décision et geste</t>
  </si>
  <si>
    <t xml:space="preserve">N2</t>
  </si>
  <si>
    <t xml:space="preserve">Approbation de la synthèse par le gestionnaire nommé</t>
  </si>
  <si>
    <t xml:space="preserve">Consumer Duty ; recommandation ACPR 2022-R-01 ; précédent Air Canada</t>
  </si>
  <si>
    <t xml:space="preserve">P</t>
  </si>
  <si>
    <t xml:space="preserve">NatWest avec la FCA</t>
  </si>
  <si>
    <t xml:space="preserve">NatWest, mai 2026, DÉCLARATIF</t>
  </si>
  <si>
    <t xml:space="preserve">https://www.natwestgroup.com/news-and-insights/latest-stories/ai-and-data/2026/may/collaborating-with-the-financial-conduct-authority-on-testing-ag.html</t>
  </si>
  <si>
    <t xml:space="preserve">coût net, pas de gain</t>
  </si>
  <si>
    <t xml:space="preserve">Entrée en relation et KYC particuliers et patrimoniaux</t>
  </si>
  <si>
    <t xml:space="preserve">Collecte, criblage, cartographie des relations, origine des fonds, dossier de diligence</t>
  </si>
  <si>
    <t xml:space="preserve">Décision d’acceptation conservée par le chargé d’affaires et la conformité</t>
  </si>
  <si>
    <t xml:space="preserve">LCB-FT, AMLA ; RGPD art. 22 ; DORA</t>
  </si>
  <si>
    <t xml:space="preserve">OCBC et Bank of Singapore, HELIOS</t>
  </si>
  <si>
    <t xml:space="preserve">OCBC, 2026, DÉCLARATIF</t>
  </si>
  <si>
    <t xml:space="preserve">https://www.ocbc.com/group/media/release/2026/ocbc-harnesses-agentic-ai-to-quicken-onboarding-customers.page</t>
  </si>
  <si>
    <t xml:space="preserve">faible</t>
  </si>
  <si>
    <t xml:space="preserve">BD-05</t>
  </si>
  <si>
    <t xml:space="preserve">non</t>
  </si>
  <si>
    <t xml:space="preserve">Revue périodique KYC particuliers</t>
  </si>
  <si>
    <t xml:space="preserve">Déclenche la revue par événement, recollecte les pièces périmées, recrible, propose la clôture de revue</t>
  </si>
  <si>
    <t xml:space="preserve">N3 sous seuil de risque</t>
  </si>
  <si>
    <t xml:space="preserve">Validation conformité sur les dossiers à risque élevé uniquement</t>
  </si>
  <si>
    <t xml:space="preserve">3</t>
  </si>
  <si>
    <t xml:space="preserve">LCB-FT ; conservation</t>
  </si>
  <si>
    <t xml:space="preserve">PNO</t>
  </si>
  <si>
    <t xml:space="preserve">Aucun établissement nommé</t>
  </si>
  <si>
    <t xml:space="preserve">Manque caractérisé</t>
  </si>
  <si>
    <t xml:space="preserve">BD-06</t>
  </si>
  <si>
    <t xml:space="preserve">Octroi de crédit à la consommation, assemblage du dossier</t>
  </si>
  <si>
    <t xml:space="preserve">Collecte les justificatifs, vérifie revenus et charges, rédige la note, contrôle la complétude</t>
  </si>
  <si>
    <t xml:space="preserve">N2 pour l’assemblage, N1 pour la décision</t>
  </si>
  <si>
    <t xml:space="preserve">N1 et N2</t>
  </si>
  <si>
    <t xml:space="preserve">Décision d’octroi humaine ; le scoring reste un modèle déterministe validé</t>
  </si>
  <si>
    <t xml:space="preserve">5</t>
  </si>
  <si>
    <t xml:space="preserve">Annexe III 5(b), 2 déc. 2027 (report provisoire) ; RGPD art. 22 ; DCC refondue</t>
  </si>
  <si>
    <t xml:space="preserve">Aucun cas nommé chiffré sous AI Act</t>
  </si>
  <si>
    <t xml:space="preserve">Atlas 1, §1.4</t>
  </si>
  <si>
    <t xml:space="preserve">BD-07</t>
  </si>
  <si>
    <t xml:space="preserve">Crédit immobilier, pré-instruction et pré-adjudication</t>
  </si>
  <si>
    <t xml:space="preserve">Classe les documents, extrait et valide les données financières, calcule les revenus, contrôle politique et consentement, signale les écarts, rédige le mémo</t>
  </si>
  <si>
    <t xml:space="preserve">Routage vers un souscripteur humain avant toute décision</t>
  </si>
  <si>
    <t xml:space="preserve">Annexe III 5(b) si la décision est automatisée ; hors Annexe III si l’agent s’arrête au mémo</t>
  </si>
  <si>
    <t xml:space="preserve">TD Bank, modèle construit par Layer 6</t>
  </si>
  <si>
    <t xml:space="preserve">PYMNTS, mai 2026, DÉCLARATIF</t>
  </si>
  <si>
    <t xml:space="preserve">https://www.pymnts.com/news/artificial-intelligence/2026/tds-ai-just-made-mortgage-waiting-obsolete/</t>
  </si>
  <si>
    <t xml:space="preserve">BD-08</t>
  </si>
  <si>
    <t xml:space="preserve">Recouvrement amiable précoce</t>
  </si>
  <si>
    <t xml:space="preserve">Segmente, choisit canal et moment, conduit la négociation, propose un échéancier, formalise</t>
  </si>
  <si>
    <t xml:space="preserve">N3 sous garde-fous de politique</t>
  </si>
  <si>
    <t xml:space="preserve">N2 à N3</t>
  </si>
  <si>
    <t xml:space="preserve">Validation de tout échéancier dérogatoire ; interdiction de relance sur profil vulnérable</t>
  </si>
  <si>
    <t xml:space="preserve">3 technique, 4 conformité</t>
  </si>
  <si>
    <t xml:space="preserve">Art. 5 AI Act (exploitation de vulnérabilité) ; règles de conduite ; Consumer Duty clients vulnérables</t>
  </si>
  <si>
    <t xml:space="preserve">A</t>
  </si>
  <si>
    <t xml:space="preserve">interface.ai Smart Collections</t>
  </si>
  <si>
    <t xml:space="preserve">PYMNTS, 19 février 2026, ÉDITEUR</t>
  </si>
  <si>
    <t xml:space="preserve">https://www.pymnts.com/news/artificial-intelligence/2026/interface-ai-debuts-agentic-ai-collection-tool-for-credit-unions/</t>
  </si>
  <si>
    <t xml:space="preserve">BD-09</t>
  </si>
  <si>
    <t xml:space="preserve">Recouvrement contentieux et pré-contentieux</t>
  </si>
  <si>
    <t xml:space="preserve">Constitue le dossier de mise en demeure, suit les délais de prescription, prépare la déchéance du terme</t>
  </si>
  <si>
    <t xml:space="preserve">Signature de l’acte de déchéance du terme par un délégataire nommé</t>
  </si>
  <si>
    <t xml:space="preserve">Procédure civile d’exécution ; surendettement</t>
  </si>
  <si>
    <t xml:space="preserve">Aucun</t>
  </si>
  <si>
    <t xml:space="preserve">BD-10</t>
  </si>
  <si>
    <t xml:space="preserve">Éducation financière et gestion de budget</t>
  </si>
  <si>
    <t xml:space="preserve">Catégorise, détecte les récurrences, projette le solde, alerte, recommande un arbitrage</t>
  </si>
  <si>
    <t xml:space="preserve">N1, N3 sur actions réversibles</t>
  </si>
  <si>
    <t xml:space="preserve">N1 et N3</t>
  </si>
  <si>
    <t xml:space="preserve">Bascule automatique plafonnée et réversible ; jamais de recommandation d’instrument</t>
  </si>
  <si>
    <t xml:space="preserve">2 technique, 3 conformité</t>
  </si>
  <si>
    <t xml:space="preserve">Frontière du conseil réglementé (périmètre FCA, mars 2026) ; art. 50</t>
  </si>
  <si>
    <t xml:space="preserve">D</t>
  </si>
  <si>
    <t xml:space="preserve">Bank of America, Wells Fargo, Starling</t>
  </si>
  <si>
    <t xml:space="preserve">Atlas 1, §1.6 ; CeFPro sur Starling, DÉCLARATIF</t>
  </si>
  <si>
    <t xml:space="preserve">https://connect.cefpro.com/article/view/fca-warns-banks-as-agentic-ai-nears-consumer-rollout</t>
  </si>
  <si>
    <t xml:space="preserve">Synthèse calculée sur le tableau</t>
  </si>
  <si>
    <t xml:space="preserve">BD-11</t>
  </si>
  <si>
    <t xml:space="preserve">Fraude et arnaque en temps réel pendant l’appel client</t>
  </si>
  <si>
    <t xml:space="preserve">Plusieurs agents en parallèle pendant l’appel : contrôle d’identité, analyse de transaction, évaluation du risque d’arnaque</t>
  </si>
  <si>
    <t xml:space="preserve">N2 assistant, N3 sur blocage réversible</t>
  </si>
  <si>
    <t xml:space="preserve">Le collaborateur peut passer outre et reste pleinement responsable du résultat</t>
  </si>
  <si>
    <t xml:space="preserve">DSP2 ; obligations de vigilance ; art. 50 si le client est informé</t>
  </si>
  <si>
    <t xml:space="preserve">Lloyds Banking Group, plateforme Envoy</t>
  </si>
  <si>
    <t xml:space="preserve">Lloyds, 8 juin 2026, DÉCLARATIF</t>
  </si>
  <si>
    <t xml:space="preserve">https://www.lloydsbankinggroup.com/media/press-releases/2026/lloyds-banking-group/lloyds-banking-group-deploys-agentic-ai-to-strengthen-real-time-.html</t>
  </si>
  <si>
    <t xml:space="preserve">Cas au total</t>
  </si>
  <si>
    <t xml:space="preserve">BD-12</t>
  </si>
  <si>
    <t xml:space="preserve">Litiges cartes et rétrofacturation</t>
  </si>
  <si>
    <t xml:space="preserve">Qualifie le motif, rassemble les preuves, applique les règles de réseau, prépare la contestation ou le remboursement</t>
  </si>
  <si>
    <t xml:space="preserve">N3 sous seuil de montant</t>
  </si>
  <si>
    <t xml:space="preserve">aucune en banque nommée</t>
  </si>
  <si>
    <t xml:space="preserve">Validation au-delà du seuil ; contrôle du taux de remboursement de complaisance</t>
  </si>
  <si>
    <t xml:space="preserve">Règles des réseaux ; DSP2 responsabilité ; délais réglementaires</t>
  </si>
  <si>
    <t xml:space="preserve">Aucune banque nommée ; alerte de place sur le risque inverse</t>
  </si>
  <si>
    <t xml:space="preserve">Chargebacks911 sur le risque créé par les agents, ÉDITEUR</t>
  </si>
  <si>
    <t xml:space="preserve">https://www.finopotamus.com/post/chargebacks911-warns-ai-agents-are-creating-a-new-era-of-dispute-risk-for-merchants-and-banks</t>
  </si>
  <si>
    <t xml:space="preserve">Statut D+C, déployé chez un acteur nommé et chiffré</t>
  </si>
  <si>
    <t xml:space="preserve">BD-13</t>
  </si>
  <si>
    <t xml:space="preserve">Détection et prise en charge des clients vulnérables</t>
  </si>
  <si>
    <t xml:space="preserve">Repère les signaux faibles dans les échanges, propose un parcours adapté, trace la prise en compte</t>
  </si>
  <si>
    <t xml:space="preserve">aucune en agentique nommée</t>
  </si>
  <si>
    <t xml:space="preserve">Décision de qualification par un humain formé ; jamais d’étiquetage automatique opposable</t>
  </si>
  <si>
    <t xml:space="preserve">Consumer Duty ; RGPD données sensibles ; art. 5 AI Act</t>
  </si>
  <si>
    <t xml:space="preserve">Aucun cas agentique nommé</t>
  </si>
  <si>
    <t xml:space="preserve">Statut D, déployé sans chiffre publié</t>
  </si>
  <si>
    <t xml:space="preserve">BD-14</t>
  </si>
  <si>
    <t xml:space="preserve">Successions et comptes inactifs</t>
  </si>
  <si>
    <t xml:space="preserve">Reconstitue les avoirs, prépare le dossier successoral, suit les délais Eckert</t>
  </si>
  <si>
    <t xml:space="preserve">Validation juridique de la dévolution</t>
  </si>
  <si>
    <t xml:space="preserve">Loi Eckert ; obligations de restitution</t>
  </si>
  <si>
    <t xml:space="preserve">Statut P, pilote</t>
  </si>
  <si>
    <t xml:space="preserve">BD-15</t>
  </si>
  <si>
    <t xml:space="preserve">Mobilité bancaire et transfert de domiciliation</t>
  </si>
  <si>
    <t xml:space="preserve">Identifie les prélèvements et virements récurrents, prépare et suit les notifications</t>
  </si>
  <si>
    <t xml:space="preserve">Contrôle de l’exhaustivité avant envoi</t>
  </si>
  <si>
    <t xml:space="preserve">Loi Macron mobilité bancaire ; DSP2</t>
  </si>
  <si>
    <t xml:space="preserve">Statut A, annoncé</t>
  </si>
  <si>
    <t xml:space="preserve">BD-16</t>
  </si>
  <si>
    <t xml:space="preserve">Vente et prochaine meilleure action</t>
  </si>
  <si>
    <t xml:space="preserve">Analyse la situation, propose l’offre suivante, prépare l’argumentaire et les documents précontractuels</t>
  </si>
  <si>
    <t xml:space="preserve">Le conseiller choisit et engage ; contrôle du biais de recommandation</t>
  </si>
  <si>
    <t xml:space="preserve">DDA et MIF selon le produit ; art. 5 AI Act si exploitation de vulnérabilité</t>
  </si>
  <si>
    <t xml:space="preserve">UBS, alertes quotidiennes aux conseillers</t>
  </si>
  <si>
    <t xml:space="preserve">InvestmentNews, 2026, DÉCLARATIF</t>
  </si>
  <si>
    <t xml:space="preserve">https://www.investmentnews.com/fintech/wall-street-banks-promoting-ai-agents-from-research-aids-into-digital-coworkers/267388</t>
  </si>
  <si>
    <t xml:space="preserve">Statut PNO, plausible non observé</t>
  </si>
  <si>
    <t xml:space="preserve">BD-17</t>
  </si>
  <si>
    <t xml:space="preserve">Prise de rendez-vous et gestion de la charge en agence</t>
  </si>
  <si>
    <t xml:space="preserve">Qualifie la demande, propose le créneau et le bon interlocuteur, prépare le dossier de rendez-vous</t>
  </si>
  <si>
    <t xml:space="preserve">Aucun, acte réversible</t>
  </si>
  <si>
    <t xml:space="preserve">1</t>
  </si>
  <si>
    <t xml:space="preserve">Art. 50 ; RGPD</t>
  </si>
  <si>
    <t xml:space="preserve">Cas dont le gain de délai dépasse le gain de coût</t>
  </si>
  <si>
    <t xml:space="preserve">Classe, extrait, rattache au dossier, déclenche le processus aval</t>
  </si>
  <si>
    <t xml:space="preserve">aucune nommée</t>
  </si>
  <si>
    <t xml:space="preserve">Contrôle par échantillon sur le taux de mauvais rattachement</t>
  </si>
  <si>
    <t xml:space="preserve">Conservation ; RGPD</t>
  </si>
  <si>
    <t xml:space="preserve">Cas à gain de délai fort ou très fort et gain de coût au plus moyen</t>
  </si>
  <si>
    <t xml:space="preserve">BD-19</t>
  </si>
  <si>
    <t xml:space="preserve">Ouverture de compte professionnel et TPE</t>
  </si>
  <si>
    <t xml:space="preserve">Vérifie l’existence légale, les bénéficiaires effectifs, le secteur d’activité, prépare la décision</t>
  </si>
  <si>
    <t xml:space="preserve">N2 en corporate</t>
  </si>
  <si>
    <t xml:space="preserve">Décision conformité</t>
  </si>
  <si>
    <t xml:space="preserve">LCB-FT ; registres de bénéficiaires effectifs</t>
  </si>
  <si>
    <t xml:space="preserve">BNP Paribas, agent KYC</t>
  </si>
  <si>
    <t xml:space="preserve">Evident Banking Brief, 11 juin 2026, DÉCLARATIF</t>
  </si>
  <si>
    <t xml:space="preserve">https://evidentinsights.com/bankingbrief/time-to-pay-the-ai-piper</t>
  </si>
  <si>
    <t xml:space="preserve">Cas exposés à l’Annexe III de l’AI Act</t>
  </si>
  <si>
    <t xml:space="preserve">BD-20</t>
  </si>
  <si>
    <t xml:space="preserve">Procurations, mandats de protection, tutelles</t>
  </si>
  <si>
    <t xml:space="preserve">Lit l’acte, extrait les pouvoirs, paramètre les habilitations dans le système</t>
  </si>
  <si>
    <t xml:space="preserve">Validation juridique de l’interprétation de l’acte</t>
  </si>
  <si>
    <t xml:space="preserve">Droit civil ; responsabilité du banquier dépositaire</t>
  </si>
  <si>
    <t xml:space="preserve">Cas dont l’autonomie observée est nulle chez tout acteur nommé</t>
  </si>
  <si>
    <t xml:space="preserve">BD-21</t>
  </si>
  <si>
    <t xml:space="preserve">Réquisitions judiciaires, saisies et avis à tiers détenteur</t>
  </si>
  <si>
    <t xml:space="preserve">Identifie les comptes, calcule le solde bancaire insaisissable, prépare la réponse dans le délai légal</t>
  </si>
  <si>
    <t xml:space="preserve">Contrôle du calcul du solde insaisissable, à responsabilité pénale</t>
  </si>
  <si>
    <t xml:space="preserve">Procédure ; délais opposables ; secret bancaire</t>
  </si>
  <si>
    <t xml:space="preserve">Cas dont l’autonomie observée atteint N3 ou plus</t>
  </si>
  <si>
    <t xml:space="preserve">BD-22</t>
  </si>
  <si>
    <t xml:space="preserve">Assistant de connaissance interne réseau</t>
  </si>
  <si>
    <t xml:space="preserve">Répond aux questions procédurales des collaborateurs à partir du corpus interne</t>
  </si>
  <si>
    <t xml:space="preserve">Aucun sur la réponse ; contrôle éditorial sur le corpus</t>
  </si>
  <si>
    <t xml:space="preserve">Hors Annexe III</t>
  </si>
  <si>
    <t xml:space="preserve">Lloyds, outil Athena, 20 000 collaborateurs</t>
  </si>
  <si>
    <t xml:space="preserve">FStech, 2026, DÉCLARATIF</t>
  </si>
  <si>
    <t xml:space="preserve">https://www.fstech.co.uk/fst/Lloyds_Banking_Group_Targets_100m_AI_Value.php</t>
  </si>
  <si>
    <t xml:space="preserve">Difficulté moyenne, cotations simples</t>
  </si>
  <si>
    <t xml:space="preserve">Banque de financement et d’investissement</t>
  </si>
  <si>
    <t xml:space="preserve">BFI-01</t>
  </si>
  <si>
    <t xml:space="preserve">Recherche, notes sectorielles, supports de présentation</t>
  </si>
  <si>
    <t xml:space="preserve">Collecte, construit la trame, produit valorisation et positionnement, met à la charte</t>
  </si>
  <si>
    <t xml:space="preserve">Approbation de chaque document par l’analyste ; conformité avant diffusion</t>
  </si>
  <si>
    <t xml:space="preserve">MIF II recherche ; abus de marché ; art. 50 AI Act au 2 août 2026</t>
  </si>
  <si>
    <t xml:space="preserve">UBS, avatars d’analystes</t>
  </si>
  <si>
    <t xml:space="preserve">Finextra, DÉCLARATIF</t>
  </si>
  <si>
    <t xml:space="preserve">https://www.finextra.com/newsarticle/46009/ubs-rolls-out-ai-avatars-of-its-analysts</t>
  </si>
  <si>
    <t xml:space="preserve">Cas ajoutés par l’atlas 2</t>
  </si>
  <si>
    <t xml:space="preserve">BFI-02</t>
  </si>
  <si>
    <t xml:space="preserve">Due diligence et revue de data room</t>
  </si>
  <si>
    <t xml:space="preserve">Indexe, extrait clauses et engagements, détecte les écarts au standard, alimente la liste de vigilance</t>
  </si>
  <si>
    <t xml:space="preserve">Conclusion juridique et financière humaine</t>
  </si>
  <si>
    <t xml:space="preserve">Secret des affaires ; confidentialité contractuelle ; DORA hébergement</t>
  </si>
  <si>
    <t xml:space="preserve">PNO en finance, D+C par transposition</t>
  </si>
  <si>
    <t xml:space="preserve">Axiom et Legora, quatre missions sectorielles</t>
  </si>
  <si>
    <t xml:space="preserve">PR Newswire, 17 juin 2026, DÉCLARATIF</t>
  </si>
  <si>
    <t xml:space="preserve">https://www.prnewswire.com/news-releases/axiom-and-legora-mark-one-year-of-delivering-ai-enabled-legal-services-at-scale-for-in-house-legal-teams-302803178.html</t>
  </si>
  <si>
    <t xml:space="preserve">BFI-03</t>
  </si>
  <si>
    <t xml:space="preserve">Structuration et modélisation financière</t>
  </si>
  <si>
    <t xml:space="preserve">Construit et alimente le modèle, teste les sensibilités, compare les structures</t>
  </si>
  <si>
    <t xml:space="preserve">Revue du modèle par un tiers ; aucune structure engageante produite par l’agent</t>
  </si>
  <si>
    <t xml:space="preserve">Gouvernance interne des modèles ; guidance interagences par analogie</t>
  </si>
  <si>
    <t xml:space="preserve">Manque caractérisé, atlas 1 §2.3</t>
  </si>
  <si>
    <t xml:space="preserve">Réserves de comptage, énoncées parce que le recomptage formule à formule diffère de l’atlas sur deux lignes. Un, le classeur trouve 88 cas dont le gain de délai dépasse strictement le gain de coût, quand l’atlas en annonce 89 : l’écart porte sur un cas coté à égalité sur les deux échelles. Deux, le classeur trouve 10 cas exposés à l’Annexe III, quand l’atlas en liste 9 : l’écart porte sur FT-09, dont le régime mentionne l’Annexe III 4 pour la seule part recrutement, sélection, affectation et évaluation. Les cotations composites, du type « 3 technique, 4 conformité », entrent dans le score de difficulté par leur premier chiffre.</t>
  </si>
  <si>
    <t xml:space="preserve">BFI-04</t>
  </si>
  <si>
    <t xml:space="preserve">Documentation juridique et négociation contractuelle</t>
  </si>
  <si>
    <t xml:space="preserve">Génère la première version, compare, détecte les écarts à la position de référence, propose un repli</t>
  </si>
  <si>
    <t xml:space="preserve">N2 hors finance</t>
  </si>
  <si>
    <t xml:space="preserve">Validation juriste sur chaque écart accepté</t>
  </si>
  <si>
    <t xml:space="preserve">Responsabilité professionnelle ; opposabilité d’un document généré</t>
  </si>
  <si>
    <t xml:space="preserve">PNO en banque, D+C par transposition</t>
  </si>
  <si>
    <t xml:space="preserve">Axiom et Legora</t>
  </si>
  <si>
    <t xml:space="preserve">Idem BFI-02</t>
  </si>
  <si>
    <t xml:space="preserve">BFI-05</t>
  </si>
  <si>
    <t xml:space="preserve">Suivi de covenants et surveillance de portefeuille</t>
  </si>
  <si>
    <t xml:space="preserve">Extrait les covenants du contrat, collecte les états, calcule les ratios, détecte le bris, ouvre le dossier de waiver</t>
  </si>
  <si>
    <t xml:space="preserve">Validation du bris avant notification à l’emprunteur</t>
  </si>
  <si>
    <t xml:space="preserve">BCBS 239 en aval ; classement en défaut</t>
  </si>
  <si>
    <t xml:space="preserve">Crisil, étude de cas client anonyme</t>
  </si>
  <si>
    <t xml:space="preserve">Crisil, mars 2026, BENCHMARK ANONYME</t>
  </si>
  <si>
    <t xml:space="preserve">https://www.crisil.com/content/integral-iq/en/homepage/what-we-think/all-our-thinking/case-studies/2026/03/covenant-monitoring-for-existing-loan-agreements.html</t>
  </si>
  <si>
    <t xml:space="preserve">Reconstitue la chaîne de détention, identifie les bénéficiaires effectifs, crible dirigeants et actionnaires</t>
  </si>
  <si>
    <t xml:space="preserve">LCB-FT ; registres ; DORA</t>
  </si>
  <si>
    <t xml:space="preserve">BNP Paribas, agent KYC, entrée en relation corporate de semaines à jours</t>
  </si>
  <si>
    <t xml:space="preserve">BFI-07</t>
  </si>
  <si>
    <t xml:space="preserve">Mémo de crédit corporate</t>
  </si>
  <si>
    <t xml:space="preserve">Assemble les états financiers, les comparables, la structure, produit le mémo au comité</t>
  </si>
  <si>
    <t xml:space="preserve">N2 par produit éditeur</t>
  </si>
  <si>
    <t xml:space="preserve">Le comité de crédit décide ; l’analyste signe le mémo</t>
  </si>
  <si>
    <t xml:space="preserve">Hors Annexe III (personne morale) ; gouvernance du risque</t>
  </si>
  <si>
    <t xml:space="preserve">Bibliothèque de modèles d’agents financiers</t>
  </si>
  <si>
    <t xml:space="preserve">The Next Web, mai 2026, DÉCLARATIF sans métrique</t>
  </si>
  <si>
    <t xml:space="preserve">https://thenextweb.com/news/anthropic-financial-services-agents-claude-opus-4-7-fis</t>
  </si>
  <si>
    <t xml:space="preserve">BFI-08</t>
  </si>
  <si>
    <t xml:space="preserve">Système d’alerte précoce sur contrepartie</t>
  </si>
  <si>
    <t xml:space="preserve">Surveille presse, dépôts, marché, comportement de compte, propose un changement de note de surveillance</t>
  </si>
  <si>
    <t xml:space="preserve">N3 sur l’alerte, N1 sur la note</t>
  </si>
  <si>
    <t xml:space="preserve">Validation du passage en liste de surveillance</t>
  </si>
  <si>
    <t xml:space="preserve">BCBS 239 ; gouvernance du risque de crédit</t>
  </si>
  <si>
    <t xml:space="preserve">BFI-09</t>
  </si>
  <si>
    <t xml:space="preserve">Trade finance, contrôle documentaire de crédit documentaire</t>
  </si>
  <si>
    <t xml:space="preserve">Contrôle la conformité des documents aux termes du crédit et aux règles UCP 600, propose les réserves</t>
  </si>
  <si>
    <t xml:space="preserve">aucune banque nommée</t>
  </si>
  <si>
    <t xml:space="preserve">Décision de lever ou maintenir la réserve, engageante</t>
  </si>
  <si>
    <t xml:space="preserve">UCP 600 ; sanctions ; LCB-FT</t>
  </si>
  <si>
    <t xml:space="preserve">Offre éditeur seulement</t>
  </si>
  <si>
    <t xml:space="preserve">V7 Go, offre, ÉDITEUR</t>
  </si>
  <si>
    <t xml:space="preserve">https://www.v7labs.com/agents/ai-agent-for-trade-finance-officers</t>
  </si>
  <si>
    <t xml:space="preserve">BFI-10</t>
  </si>
  <si>
    <t xml:space="preserve">Financements structurés, extraction de term sheets et de clauses</t>
  </si>
  <si>
    <t xml:space="preserve">Extrait les termes, compare aux précédents, alimente le système de gestion des prêts</t>
  </si>
  <si>
    <t xml:space="preserve">Contrôle de la saisie avant mise en gestion</t>
  </si>
  <si>
    <t xml:space="preserve">BFI-11</t>
  </si>
  <si>
    <t xml:space="preserve">Syndication, allocation et suivi du livre</t>
  </si>
  <si>
    <t xml:space="preserve">Suit les intentions, prépare les allocations, produit les documents de closing</t>
  </si>
  <si>
    <t xml:space="preserve">Décision d’allocation, sensible en conflits d’intérêts</t>
  </si>
  <si>
    <t xml:space="preserve">MIF II conflits d’intérêts ; abus de marché</t>
  </si>
  <si>
    <t xml:space="preserve">BFI-12</t>
  </si>
  <si>
    <t xml:space="preserve">Notation interne et revue annuelle de dossier</t>
  </si>
  <si>
    <t xml:space="preserve">Recollecte les états, recalcule les ratios, propose la note et le commentaire</t>
  </si>
  <si>
    <t xml:space="preserve">Validation par le comité de notation</t>
  </si>
  <si>
    <t xml:space="preserve">CRR modèles internes ; validation indépendante</t>
  </si>
  <si>
    <t xml:space="preserve">BFI-13</t>
  </si>
  <si>
    <t xml:space="preserve">Restructuration et recouvrement corporate</t>
  </si>
  <si>
    <t xml:space="preserve">Reconstitue la situation, simule les scénarios de restructuration, prépare le dossier de comité</t>
  </si>
  <si>
    <t xml:space="preserve">Toute la décision</t>
  </si>
  <si>
    <t xml:space="preserve">Droit des entreprises en difficulté</t>
  </si>
  <si>
    <t xml:space="preserve">BFI-14</t>
  </si>
  <si>
    <t xml:space="preserve">oui (via 6.5)</t>
  </si>
  <si>
    <t xml:space="preserve">Cash management et trésorerie corporate</t>
  </si>
  <si>
    <t xml:space="preserve">Détecte les changements de devise et propose une couverture, repère les factures synthétiques, exécute la réconciliation, oriente le routage des paiements dans des bornes de politique</t>
  </si>
  <si>
    <t xml:space="preserve">N3 sous politique</t>
  </si>
  <si>
    <t xml:space="preserve">N1 à N2</t>
  </si>
  <si>
    <t xml:space="preserve">Approbation du trésorier pour les opérations ; revue CFO hors bornes ; comité de risque hebdomadaire</t>
  </si>
  <si>
    <t xml:space="preserve">Délégations de pouvoirs ; séparation des tâches ; DSP2</t>
  </si>
  <si>
    <t xml:space="preserve">JPMorgan Payments ; HSBC avec Google Cloud</t>
  </si>
  <si>
    <t xml:space="preserve">JPMorgan, 25 juin 2026 ; TechTimes, 28 juillet 2026, DÉCLARATIF</t>
  </si>
  <si>
    <t xml:space="preserve">https://www.jpmorgan.com/payments/newsroom/agentic-ai-corporate-cash-treasury-management</t>
  </si>
  <si>
    <t xml:space="preserve">BFI-15</t>
  </si>
  <si>
    <t xml:space="preserve">Onboarding institutionnel et documentation ISDA et CSA</t>
  </si>
  <si>
    <t xml:space="preserve">Extrait les termes de netting et de collatéral, alimente les systèmes de risque et de collatéral</t>
  </si>
  <si>
    <t xml:space="preserve">Validation juridique de l’interprétation des annexes</t>
  </si>
  <si>
    <t xml:space="preserve">EMIR ; UMR ; opposabilité du netting</t>
  </si>
  <si>
    <t xml:space="preserve">BFI-16</t>
  </si>
  <si>
    <t xml:space="preserve">Reporting client corporate et revue de relation</t>
  </si>
  <si>
    <t xml:space="preserve">Assemble l’encours, les flux, les conditions, produit la revue annuelle de relation</t>
  </si>
  <si>
    <t xml:space="preserve">Validation du banquier avant envoi</t>
  </si>
  <si>
    <t xml:space="preserve">MIF II information claire et non trompeuse</t>
  </si>
  <si>
    <t xml:space="preserve">Marchés de capitaux et post-marché</t>
  </si>
  <si>
    <t xml:space="preserve">MC-01</t>
  </si>
  <si>
    <t xml:space="preserve">Recherche d’investissement et génération d’idées</t>
  </si>
  <si>
    <t xml:space="preserve">Veille, extrait les écarts au consensus, construit les notes thématiques</t>
  </si>
  <si>
    <t xml:space="preserve">Validation de l’analyste ; conformité recherche</t>
  </si>
  <si>
    <t xml:space="preserve">MIF II ; abus de marché ; art. 50</t>
  </si>
  <si>
    <t xml:space="preserve">Morgan Stanley AskResearchGPT ; BlackRock Aladdin Copilot</t>
  </si>
  <si>
    <t xml:space="preserve">Atlas 1, §3.1, DÉCLARATIF</t>
  </si>
  <si>
    <t xml:space="preserve">MC-02</t>
  </si>
  <si>
    <t xml:space="preserve">Exécution et routage intelligent d’ordres</t>
  </si>
  <si>
    <t xml:space="preserve">Découpe l’ordre, choisit les lieux, adapte à la liquidité</t>
  </si>
  <si>
    <t xml:space="preserve">N3 encadrée déterministe</t>
  </si>
  <si>
    <t xml:space="preserve">N3 non générative</t>
  </si>
  <si>
    <t xml:space="preserve">Blocages durs de l’article 15 du RTS 6, en amont, déterministes</t>
  </si>
  <si>
    <t xml:space="preserve">MIF II, RTS 6, briefing ESMA du 26 février 2026</t>
  </si>
  <si>
    <t xml:space="preserve">PNO en génératif</t>
  </si>
  <si>
    <t xml:space="preserve">Aucun gain d’exécution attribué à un agent LLM</t>
  </si>
  <si>
    <t xml:space="preserve">CMS sur le briefing ESMA</t>
  </si>
  <si>
    <t xml:space="preserve">https://cms.law/en/aut/legal-updates/esma-supervisory-briefing-on-algorithmic-trading-in-the-eu-key-points-and-practical-implications</t>
  </si>
  <si>
    <t xml:space="preserve">MC-03</t>
  </si>
  <si>
    <t xml:space="preserve">Tenue de marché</t>
  </si>
  <si>
    <t xml:space="preserve">Sans objet en génératif</t>
  </si>
  <si>
    <t xml:space="preserve">N3 déterministe</t>
  </si>
  <si>
    <t xml:space="preserve">déterministe</t>
  </si>
  <si>
    <t xml:space="preserve">Contrôles pré-négociation</t>
  </si>
  <si>
    <t xml:space="preserve">MIF II obligations de tenue de marché, RTS 8</t>
  </si>
  <si>
    <t xml:space="preserve">Atlas 1, §3.3</t>
  </si>
  <si>
    <t xml:space="preserve">Rapproche positions et flux, analyse l’écart, identifie la cause, propose la correction, relance</t>
  </si>
  <si>
    <t xml:space="preserve">N3 sous seuil</t>
  </si>
  <si>
    <t xml:space="preserve">Validation et confirmation que l’action prise est correcte</t>
  </si>
  <si>
    <t xml:space="preserve">CSDR discipline de règlement ; DORA</t>
  </si>
  <si>
    <t xml:space="preserve">SmartStream, position de place explicite en N2</t>
  </si>
  <si>
    <t xml:space="preserve">Asset Servicing Times, DÉCLARATIF sans métrique</t>
  </si>
  <si>
    <t xml:space="preserve">https://www.assetservicingtimes.com/specialistfeatures/specialistfeature.php?specialist_id=705</t>
  </si>
  <si>
    <t xml:space="preserve">MC-05</t>
  </si>
  <si>
    <t xml:space="preserve">Gestion collatérale, éligibilité et paniers</t>
  </si>
  <si>
    <t xml:space="preserve">Définit et teste les critères d’éligibilité, détecte les incohérences, prépare la négociation de panier</t>
  </si>
  <si>
    <t xml:space="preserve">Négociation et acceptation du panier par les deux contreparties</t>
  </si>
  <si>
    <t xml:space="preserve">EMIR ; UMR ; DORA</t>
  </si>
  <si>
    <t xml:space="preserve">Clearstream, outil OSCAR, avec Intelli-Select et KU Leuven</t>
  </si>
  <si>
    <t xml:space="preserve">Securities Finance Times, 22 juin 2022, DÉCLARATIF</t>
  </si>
  <si>
    <t xml:space="preserve">https://www.securitiesfinancetimes.com/securitieslendingnews/industryarticle.php?article_id=225624</t>
  </si>
  <si>
    <t xml:space="preserve">MC-06</t>
  </si>
  <si>
    <t xml:space="preserve">Reporting réglementaire de transactions et prudentiel</t>
  </si>
  <si>
    <t xml:space="preserve">Détecte les anomalies de qualité de données sur les traitements de nuit, lance la remédiation en amont, rédige les workflows</t>
  </si>
  <si>
    <t xml:space="preserve">N3 sur la remédiation, N2 sur le dépôt</t>
  </si>
  <si>
    <t xml:space="preserve">Validation avant dépôt ; l’humain reste dans la boucle de contrôle</t>
  </si>
  <si>
    <t xml:space="preserve">EMIR Refit, MiFIR, SFTR ; COREP et FINREP ; DORA</t>
  </si>
  <si>
    <t xml:space="preserve">Regnology, RGI Explain, RGI Assist, RGI Workforce</t>
  </si>
  <si>
    <t xml:space="preserve">A-Team Insight, 27 juillet 2026, DÉCLARATIF sans métrique</t>
  </si>
  <si>
    <t xml:space="preserve">https://a-teaminsight.com/blog/regnology-moves-from-platform-integration-to-agentic-reporting/</t>
  </si>
  <si>
    <t xml:space="preserve">MC-07</t>
  </si>
  <si>
    <t xml:space="preserve">Opérations sur titres et service aux actifs</t>
  </si>
  <si>
    <t xml:space="preserve">Lit l’avis d’opération, normalise, calcule les droits, prépare l’instruction et les notifications clients</t>
  </si>
  <si>
    <t xml:space="preserve">N3 sous seuil de matérialité</t>
  </si>
  <si>
    <t xml:space="preserve">Validation des opérations volontaires et des cas complexes</t>
  </si>
  <si>
    <t xml:space="preserve">Responsabilité du dépositaire ; délais de marché opposables</t>
  </si>
  <si>
    <t xml:space="preserve">Aucun conservateur nommé</t>
  </si>
  <si>
    <t xml:space="preserve">MC-08</t>
  </si>
  <si>
    <t xml:space="preserve">Confirmation et affirmation de transactions</t>
  </si>
  <si>
    <t xml:space="preserve">Rapproche les termes, identifie l’écart, relance la contrepartie</t>
  </si>
  <si>
    <t xml:space="preserve">Validation des écarts au-delà du seuil</t>
  </si>
  <si>
    <t xml:space="preserve">EMIR confirmation ; CSDR</t>
  </si>
  <si>
    <t xml:space="preserve">MC-09</t>
  </si>
  <si>
    <t xml:space="preserve">Instructions de règlement permanentes</t>
  </si>
  <si>
    <t xml:space="preserve">Normalise et met à jour les SSI, détecte les incohérences avant règlement</t>
  </si>
  <si>
    <t xml:space="preserve">déterministe assisté</t>
  </si>
  <si>
    <t xml:space="preserve">Validation du changement de SSI, cible classique de fraude</t>
  </si>
  <si>
    <t xml:space="preserve">CSDR ; fraude au changement de coordonnées</t>
  </si>
  <si>
    <t xml:space="preserve">S&amp;P Global, SSI Automate</t>
  </si>
  <si>
    <t xml:space="preserve">S&amp;P Global, mars 2026, DÉCLARATIF</t>
  </si>
  <si>
    <t xml:space="preserve">https://www.spglobal.com/market-intelligence/en/news-insights/research/2026/03/ssi-automate-now-live-ai-powered-standing-settlement-instruction-automation-for-t1-readiness</t>
  </si>
  <si>
    <t xml:space="preserve">MC-10</t>
  </si>
  <si>
    <t xml:space="preserve">Surveillance des abus de marché</t>
  </si>
  <si>
    <t xml:space="preserve">Trie les alertes, reconstitue le contexte de marché et de communication, rédige la note d’investigation</t>
  </si>
  <si>
    <t xml:space="preserve">Décision de déclaration au régulateur</t>
  </si>
  <si>
    <t xml:space="preserve">MAR ; conservation des communications</t>
  </si>
  <si>
    <t xml:space="preserve">MC-11</t>
  </si>
  <si>
    <t xml:space="preserve">Valorisation indépendante et contrôle de prix</t>
  </si>
  <si>
    <t xml:space="preserve">Collecte les sources, compare, documente l’écart, propose l’ajustement</t>
  </si>
  <si>
    <t xml:space="preserve">Validation du contrôleur de valorisation</t>
  </si>
  <si>
    <t xml:space="preserve">Prudent valuation ; IFRS 13 ; validation indépendante</t>
  </si>
  <si>
    <t xml:space="preserve">MC-12</t>
  </si>
  <si>
    <t xml:space="preserve">Appels de marge et contestations</t>
  </si>
  <si>
    <t xml:space="preserve">Recalcule, compare à la contrepartie ou à la chambre, prépare la contestation</t>
  </si>
  <si>
    <t xml:space="preserve">Validation de toute contestation et de tout mouvement au-delà du seuil</t>
  </si>
  <si>
    <t xml:space="preserve">EMIR ; UMR ; irréversibilité du mouvement de collatéral</t>
  </si>
  <si>
    <t xml:space="preserve">MC-13</t>
  </si>
  <si>
    <t xml:space="preserve">Calcul de risque de marché et tests de résistance</t>
  </si>
  <si>
    <t xml:space="preserve">Prépare les jeux de scénarios, exécute, commente les écarts, rédige la note au comité des risques</t>
  </si>
  <si>
    <t xml:space="preserve">Validation par la fonction risque et le comité</t>
  </si>
  <si>
    <t xml:space="preserve">FRTB ; validation de modèle ; guidance interagences par analogie</t>
  </si>
  <si>
    <t xml:space="preserve">MC-14</t>
  </si>
  <si>
    <t xml:space="preserve">Négociation d’annexes de collatéral et de netting</t>
  </si>
  <si>
    <t xml:space="preserve">Compare aux positions de référence, propose les replis, tient le journal de négociation</t>
  </si>
  <si>
    <t xml:space="preserve">Validation juridique de chaque écart</t>
  </si>
  <si>
    <t xml:space="preserve">EMIR ; opinions de netting</t>
  </si>
  <si>
    <t xml:space="preserve">Gestion d’actifs et distribution</t>
  </si>
  <si>
    <t xml:space="preserve">GA-01</t>
  </si>
  <si>
    <t xml:space="preserve">Préparation de rendez-vous et compte rendu</t>
  </si>
  <si>
    <t xml:space="preserve">Agrège la situation, prend les notes, extrait les actions, rédige le courriel, alimente le CRM</t>
  </si>
  <si>
    <t xml:space="preserve">Le conseiller édite et envoie</t>
  </si>
  <si>
    <t xml:space="preserve">Consentement à l’enregistrement ; MIF II 16(7) ; RGPD</t>
  </si>
  <si>
    <t xml:space="preserve">Morgan Stanley, Debrief, environ 16 000 conseillers</t>
  </si>
  <si>
    <t xml:space="preserve">Morgan Stanley, DÉCLARATIF</t>
  </si>
  <si>
    <t xml:space="preserve">https://www.morganstanley.com/press-releases/ai-at-morgan-stanley-debrief-launch</t>
  </si>
  <si>
    <t xml:space="preserve">GA-02</t>
  </si>
  <si>
    <t xml:space="preserve">Allocation et rebalancement de portefeuille</t>
  </si>
  <si>
    <t xml:space="preserve">Détecte la dérive, calcule les ordres, contrôle les contraintes, transmet</t>
  </si>
  <si>
    <t xml:space="preserve">N1 en production, recherche en N3</t>
  </si>
  <si>
    <t xml:space="preserve">Validation avant transmission d’ordre</t>
  </si>
  <si>
    <t xml:space="preserve">MIF II gestion sous mandat, adéquation, best execution ; déclaration ESMA du 30 mai 2024</t>
  </si>
  <si>
    <t xml:space="preserve">P recherche</t>
  </si>
  <si>
    <t xml:space="preserve">JPMorgan, huit agents d’allocation par régime</t>
  </si>
  <si>
    <t xml:space="preserve">InvestmentNews, 2026, DÉCLARATIF, rétro-test</t>
  </si>
  <si>
    <t xml:space="preserve">GA-03</t>
  </si>
  <si>
    <t xml:space="preserve">Reporting client périodique</t>
  </si>
  <si>
    <t xml:space="preserve">Produit le reporting, commente la performance, adapte le ton, contrôle la conformité</t>
  </si>
  <si>
    <t xml:space="preserve">aucune chiffrée</t>
  </si>
  <si>
    <t xml:space="preserve">Validation conformité avant diffusion</t>
  </si>
  <si>
    <t xml:space="preserve">MIF II information claire ; art. 50 si le commentaire paraît humain</t>
  </si>
  <si>
    <t xml:space="preserve">GA-04</t>
  </si>
  <si>
    <t xml:space="preserve">Conformité MIF, adéquation, surveillance des conseils</t>
  </si>
  <si>
    <t xml:space="preserve">Contrôle l’adéquation au profil, détecte la vente inadaptée, surveille les communications</t>
  </si>
  <si>
    <t xml:space="preserve">Décision de qualification d’un manquement</t>
  </si>
  <si>
    <t xml:space="preserve">MIF II ; déclaration ESMA du 30 mai 2024 sur la surdépendance</t>
  </si>
  <si>
    <t xml:space="preserve">GA-05</t>
  </si>
  <si>
    <t xml:space="preserve">Accompagnement et conseil au client final</t>
  </si>
  <si>
    <t xml:space="preserve">Oriente le client dans ses options d’investissement sans décider à sa place</t>
  </si>
  <si>
    <t xml:space="preserve">N1 en accompagnement, N2 en conseil</t>
  </si>
  <si>
    <t xml:space="preserve">N1 en pilote</t>
  </si>
  <si>
    <t xml:space="preserve">Frontière conseil et information ; supervision du périmètre de l’aide</t>
  </si>
  <si>
    <t xml:space="preserve">Nouvelle activité réglementée britannique de « targeted support » ; MIF II en UE ; SMCR</t>
  </si>
  <si>
    <t xml:space="preserve">Lloyds, Scottish Widows, dans l’AI Live Testing de la FCA</t>
  </si>
  <si>
    <t xml:space="preserve">Reuters via StreetInsider, 21 avril 2026, DÉCLARATIF</t>
  </si>
  <si>
    <t xml:space="preserve">https://www.streetinsider.com/Reuters/Lloyds+pilots+AI+investment+guidance+tool+as+UK+regulator+studies+impact/26340684.html</t>
  </si>
  <si>
    <t xml:space="preserve">GA-06</t>
  </si>
  <si>
    <t xml:space="preserve">Réponse aux appels d’offres institutionnels et questionnaires de diligence</t>
  </si>
  <si>
    <t xml:space="preserve">Retrouve la réponse validée, l’adapte au questionnaire, signale les réponses périmées</t>
  </si>
  <si>
    <t xml:space="preserve">aucune société nommée</t>
  </si>
  <si>
    <t xml:space="preserve">Validation de chaque réponse engageante par la conformité</t>
  </si>
  <si>
    <t xml:space="preserve">Responsabilité de l’information communiquée aux investisseurs</t>
  </si>
  <si>
    <t xml:space="preserve">Offre éditeur abondante, aucun gérant nommé</t>
  </si>
  <si>
    <t xml:space="preserve">DiligenceVault, ÉDITEUR</t>
  </si>
  <si>
    <t xml:space="preserve">https://diligencevault.com/ai-for-rfp-and-ddq-efficiency-in-asset-management/</t>
  </si>
  <si>
    <t xml:space="preserve">GA-07</t>
  </si>
  <si>
    <t xml:space="preserve">Comptabilité de fonds et contrôle de valeur liquidative</t>
  </si>
  <si>
    <t xml:space="preserve">Contrôle les écarts de valorisation, explique la variation, prépare le dossier de VL</t>
  </si>
  <si>
    <t xml:space="preserve">N3 sous seuil de tolérance</t>
  </si>
  <si>
    <t xml:space="preserve">Validation de la VL par le valorisateur, acte engageant</t>
  </si>
  <si>
    <t xml:space="preserve">Responsabilité du dépositaire et de la société de gestion ; erreur de VL indemnisable</t>
  </si>
  <si>
    <t xml:space="preserve">GA-08</t>
  </si>
  <si>
    <t xml:space="preserve">Tenue de passif et service aux porteurs</t>
  </si>
  <si>
    <t xml:space="preserve">Traite les souscriptions et rachats, contrôle les documents, répond aux distributeurs</t>
  </si>
  <si>
    <t xml:space="preserve">Validation des cas de blocage et de LCB-FT</t>
  </si>
  <si>
    <t xml:space="preserve">LCB-FT ; règles de souscription et rachat</t>
  </si>
  <si>
    <t xml:space="preserve">GA-09</t>
  </si>
  <si>
    <t xml:space="preserve">Reporting réglementaire des fonds, AIFM, PRIIPS, SFDR</t>
  </si>
  <si>
    <t xml:space="preserve">Collecte, contrôle la cohérence, prépare le dépôt et les documents précontractuels</t>
  </si>
  <si>
    <t xml:space="preserve">Validation avant dépôt et avant publication</t>
  </si>
  <si>
    <t xml:space="preserve">AIFM, PRIIPS, SFDR ; responsabilité du contenu</t>
  </si>
  <si>
    <t xml:space="preserve">GA-10</t>
  </si>
  <si>
    <t xml:space="preserve">Recherche buy-side et génération d’idées d’allocation</t>
  </si>
  <si>
    <t xml:space="preserve">Huit agents affectés à des régimes de marché distincts, produisent une allocation, tournent des heures sans intervention</t>
  </si>
  <si>
    <t xml:space="preserve">N3 en recherche</t>
  </si>
  <si>
    <t xml:space="preserve">recherche uniquement</t>
  </si>
  <si>
    <t xml:space="preserve">Aucun capital réel engagé à ce stade</t>
  </si>
  <si>
    <t xml:space="preserve">MIF II si le résultat informe une décision de gestion ; validation de modèle</t>
  </si>
  <si>
    <t xml:space="preserve">JPMorgan, phase recherche et rétro-test</t>
  </si>
  <si>
    <t xml:space="preserve">GA-11</t>
  </si>
  <si>
    <t xml:space="preserve">Sélection de fonds et diligence de gérants externes</t>
  </si>
  <si>
    <t xml:space="preserve">Lit les questionnaires, compare aux critères, prépare la note de sélection</t>
  </si>
  <si>
    <t xml:space="preserve">Décision du comité de sélection</t>
  </si>
  <si>
    <t xml:space="preserve">Devoir de diligence ; conflits d’intérêts</t>
  </si>
  <si>
    <t xml:space="preserve">GA-12</t>
  </si>
  <si>
    <t xml:space="preserve">Prospection et développement commercial du conseiller</t>
  </si>
  <si>
    <t xml:space="preserve">Identifie les signaux, prépare l’approche, rédige la prise de contact</t>
  </si>
  <si>
    <t xml:space="preserve">Le conseiller envoie ; contrôle des allégations commerciales</t>
  </si>
  <si>
    <t xml:space="preserve">Démarchage ; MIF II communications à caractère promotionnel ; art. 50</t>
  </si>
  <si>
    <t xml:space="preserve">UBS, alertes sur les contrats arrivant à échéance</t>
  </si>
  <si>
    <t xml:space="preserve">GA-13</t>
  </si>
  <si>
    <t xml:space="preserve">Middle-office buy-side, gestion des ordres et des suspens</t>
  </si>
  <si>
    <t xml:space="preserve">Suit le cycle de vie de l’ordre, traite les rejets, relance les brokers</t>
  </si>
  <si>
    <t xml:space="preserve">Validation des corrections d’ordre</t>
  </si>
  <si>
    <t xml:space="preserve">Best execution ; CSDR</t>
  </si>
  <si>
    <t xml:space="preserve">GA-14</t>
  </si>
  <si>
    <t xml:space="preserve">Données extra-financières, controverses et rapportage ESG</t>
  </si>
  <si>
    <t xml:space="preserve">Collecte, recoupe, détecte la controverse, prépare le rapportage et les justificatifs</t>
  </si>
  <si>
    <t xml:space="preserve">Validation avant publication, exposition au risque d’écoblanchiment</t>
  </si>
  <si>
    <t xml:space="preserve">SFDR ; CSRD ; risque d’allégation trompeuse</t>
  </si>
  <si>
    <t xml:space="preserve">Aucun gérant nommé</t>
  </si>
  <si>
    <t xml:space="preserve">GA-15</t>
  </si>
  <si>
    <t xml:space="preserve">Marchés privés, criblage d’opportunités et suivi de participations</t>
  </si>
  <si>
    <t xml:space="preserve">Lit les mémorandums, normalise les indicateurs, suit les covenants et les reportings de participations</t>
  </si>
  <si>
    <t xml:space="preserve">Décision d’investissement et de valorisation</t>
  </si>
  <si>
    <t xml:space="preserve">Valorisation de titres non cotés ; conflits d’intérêts</t>
  </si>
  <si>
    <t xml:space="preserve">Aucune société nommée</t>
  </si>
  <si>
    <t xml:space="preserve">GA-16</t>
  </si>
  <si>
    <t xml:space="preserve">Administration de mandats et documentation contractuelle</t>
  </si>
  <si>
    <t xml:space="preserve">Génère et met à jour les conventions, contrôle la complétude documentaire</t>
  </si>
  <si>
    <t xml:space="preserve">Validation juridique</t>
  </si>
  <si>
    <t xml:space="preserve">MIF II documentation ; conservation</t>
  </si>
  <si>
    <t xml:space="preserve">AS-01</t>
  </si>
  <si>
    <t xml:space="preserve">Souscription IARD et spécialisée</t>
  </si>
  <si>
    <t xml:space="preserve">Agents spécialisés coordonnés : ingestion, évaluation du risque, comparaison tarifaire, synthèse</t>
  </si>
  <si>
    <t xml:space="preserve">N2 tendant vers N3</t>
  </si>
  <si>
    <t xml:space="preserve">Supervision présentée comme essentielle et durable, avec intervention en temps réel</t>
  </si>
  <si>
    <t xml:space="preserve">Hors Annexe III pour l’IARD ; Solvabilité II gouvernance ; DDA pour la part conseil</t>
  </si>
  <si>
    <t xml:space="preserve">AIG, portefeuille Lexington middle market property</t>
  </si>
  <si>
    <t xml:space="preserve">Insurance Journal, 13 février 2026, DÉCLARATIF</t>
  </si>
  <si>
    <t xml:space="preserve">https://www.insurancejournal.com/news/national/2026/02/13/858033.htm</t>
  </si>
  <si>
    <t xml:space="preserve">AS-02</t>
  </si>
  <si>
    <t xml:space="preserve">Tarification vie et santé</t>
  </si>
  <si>
    <t xml:space="preserve">Sans objet à ce stade : le tarif reste un modèle actuariel validé</t>
  </si>
  <si>
    <t xml:space="preserve">Validation actuarielle et comité tarifaire</t>
  </si>
  <si>
    <t xml:space="preserve">Annexe III 5(c), 2 déc. 2027 (report provisoire) ; Solvabilité II ; non-discrimination</t>
  </si>
  <si>
    <t xml:space="preserve">Aucun cas nommé chiffré</t>
  </si>
  <si>
    <t xml:space="preserve">Atlas 1, §5.2</t>
  </si>
  <si>
    <t xml:space="preserve">AS-03</t>
  </si>
  <si>
    <t xml:space="preserve">Sinistres simples sous seuil de montant</t>
  </si>
  <si>
    <t xml:space="preserve">Sept agents : garantie, météo, fraude, calcul du règlement, piste d’audit</t>
  </si>
  <si>
    <t xml:space="preserve">Autorisation finale de paiement humaine</t>
  </si>
  <si>
    <t xml:space="preserve">Hors Annexe III ; DDA ; RGPD art. 22 sur un refus</t>
  </si>
  <si>
    <t xml:space="preserve">Allianz, projet Nemo, sinistres de denrées avariées sous 500 AUD</t>
  </si>
  <si>
    <t xml:space="preserve">InsureBench, fiche Allianz, DÉCLARATIF</t>
  </si>
  <si>
    <t xml:space="preserve">https://www.insurebench.com/insurers/allianz</t>
  </si>
  <si>
    <t xml:space="preserve">Conduit l’entretien initial, informe sur la police, oriente vers les parcours numériques</t>
  </si>
  <si>
    <t xml:space="preserve">N3 sur l’interaction</t>
  </si>
  <si>
    <t xml:space="preserve">Bascule vers un gestionnaire dès qualification de la garantie</t>
  </si>
  <si>
    <t xml:space="preserve">Art. 50 AI Act ; DDA ; traitement des réclamations</t>
  </si>
  <si>
    <t xml:space="preserve">Travelers, Claim Assistant, avec OpenAI</t>
  </si>
  <si>
    <t xml:space="preserve">Communiqué relayé, 18 février 2026, DÉCLARATIF sans métrique</t>
  </si>
  <si>
    <t xml:space="preserve">https://www.stocktitan.net/news/TRV/travelers-launches-industry-leading-agentic-ai-claim-assistant-40s00g2sbi27.html</t>
  </si>
  <si>
    <t xml:space="preserve">AS-05</t>
  </si>
  <si>
    <t xml:space="preserve">Sinistres corporels et graves</t>
  </si>
  <si>
    <t xml:space="preserve">Assemble le dossier médical et juridique, prépare l’évaluation, jamais l’évaluation elle-même</t>
  </si>
  <si>
    <t xml:space="preserve">Toute l’évaluation du préjudice, par un expert nommé</t>
  </si>
  <si>
    <t xml:space="preserve">RGPD données de santé ; précédent nH Predict ; responsabilité civile</t>
  </si>
  <si>
    <t xml:space="preserve">Aucun, et c’est délibéré chez les assureurs interrogés</t>
  </si>
  <si>
    <t xml:space="preserve">Digital Insurance, 26 juin 2026, DÉCLARATIF</t>
  </si>
  <si>
    <t xml:space="preserve">https://www.dig-in.com/news/where-insurers-stand-on-ai-agents</t>
  </si>
  <si>
    <t xml:space="preserve">AS-06</t>
  </si>
  <si>
    <t xml:space="preserve">Lutte contre la fraude à l’assurance</t>
  </si>
  <si>
    <t xml:space="preserve">Score la déclaration, rapproche des bases sinistres, détecte les réseaux, monte le dossier</t>
  </si>
  <si>
    <t xml:space="preserve">L’enquêteur décide de l’action</t>
  </si>
  <si>
    <t xml:space="preserve">RGPD profilage ; LCB-FT quand la fraude croise le blanchiment</t>
  </si>
  <si>
    <t xml:space="preserve">Allianz, agent fraude du projet Nemo</t>
  </si>
  <si>
    <t xml:space="preserve">Idem AS-03, DÉCLARATIF sans chiffre de détection</t>
  </si>
  <si>
    <t xml:space="preserve">AS-07</t>
  </si>
  <si>
    <t xml:space="preserve">Service assuré et gestion de contrat</t>
  </si>
  <si>
    <t xml:space="preserve">Informe sur la garantie, modifie le contrat, délivre l’attestation, suit le sinistre</t>
  </si>
  <si>
    <t xml:space="preserve">N1 à N3</t>
  </si>
  <si>
    <t xml:space="preserve">Escalade sur les actes modifiant la garantie</t>
  </si>
  <si>
    <t xml:space="preserve">2 en N1, 4 en N3 vocal</t>
  </si>
  <si>
    <t xml:space="preserve">Art. 50 ; DDA, frontière information et conseil plus basse qu’en banque</t>
  </si>
  <si>
    <t xml:space="preserve">Allianz assistant téléconseiller ; Travelers en front</t>
  </si>
  <si>
    <t xml:space="preserve">Atlas 1, §5.5, DÉCLARATIF</t>
  </si>
  <si>
    <t xml:space="preserve">AS-08</t>
  </si>
  <si>
    <t xml:space="preserve">Actuariat, préparation de valorisation</t>
  </si>
  <si>
    <t xml:space="preserve">Prépare les données de valorisation, détecte les incohérences, propose les corrections, teste les modèles la nuit, trace les changements d’hypothèses</t>
  </si>
  <si>
    <t xml:space="preserve">aucune, stade conceptuel assumé</t>
  </si>
  <si>
    <t xml:space="preserve">Signature de l’opinion actuarielle, question ouverte posée par la profession</t>
  </si>
  <si>
    <t xml:space="preserve">Solvabilité II fonction actuarielle et validation indépendante ; responsabilité de l’actuaire signataire</t>
  </si>
  <si>
    <t xml:space="preserve">Aucun assureur nommé</t>
  </si>
  <si>
    <t xml:space="preserve">SOA, 6 avril 2026, article professionnel sans métrique</t>
  </si>
  <si>
    <t xml:space="preserve">https://www.soa.org/communities/emerging-topics/newsletter-articles/2026/april/2026-04-et-negi/</t>
  </si>
  <si>
    <t xml:space="preserve">AS-09</t>
  </si>
  <si>
    <t xml:space="preserve">Réassurance, placement, bordereaux et sinistres cédés</t>
  </si>
  <si>
    <t xml:space="preserve">Normalise les bordereaux hétérogènes, rapproche cessions et sinistres, prépare le placement</t>
  </si>
  <si>
    <t xml:space="preserve">Validation des cessions et des appels de fonds</t>
  </si>
  <si>
    <t xml:space="preserve">Solvabilité II ; contrats de réassurance</t>
  </si>
  <si>
    <t xml:space="preserve">Aucun réassureur nommé</t>
  </si>
  <si>
    <t xml:space="preserve">AS-10</t>
  </si>
  <si>
    <t xml:space="preserve">Ingestion de soumissions courtier</t>
  </si>
  <si>
    <t xml:space="preserve">Extrait des formats hétérogènes, normalise, alimente le moteur de souscription</t>
  </si>
  <si>
    <t xml:space="preserve">N3 chez AIG comme sous-processus</t>
  </si>
  <si>
    <t xml:space="preserve">Contrôle du taux d’erreur d’extraction par échantillon</t>
  </si>
  <si>
    <t xml:space="preserve">AIG, sous-processus d’AIG Assist</t>
  </si>
  <si>
    <t xml:space="preserve">Idem AS-01</t>
  </si>
  <si>
    <t xml:space="preserve">AS-11</t>
  </si>
  <si>
    <t xml:space="preserve">Avenants et gestion du cycle de vie du contrat</t>
  </si>
  <si>
    <t xml:space="preserve">Interprète la demande, prépare l’avenant, contrôle la cohérence de garantie</t>
  </si>
  <si>
    <t xml:space="preserve">Validation des avenants modifiant le risque</t>
  </si>
  <si>
    <t xml:space="preserve">DDA ; devoir de conseil</t>
  </si>
  <si>
    <t xml:space="preserve">AS-12</t>
  </si>
  <si>
    <t xml:space="preserve">Recours et subrogation</t>
  </si>
  <si>
    <t xml:space="preserve">Identifie le tiers responsable, constitue le dossier de recours, suit la prescription</t>
  </si>
  <si>
    <t xml:space="preserve">aucun assureur nommé</t>
  </si>
  <si>
    <t xml:space="preserve">Décision d’engager le recours</t>
  </si>
  <si>
    <t xml:space="preserve">Prescription ; conventions inter-assureurs</t>
  </si>
  <si>
    <t xml:space="preserve">Analyse sectorielle sans acteur nommé</t>
  </si>
  <si>
    <t xml:space="preserve">Insurance Journal Research, ÉDITEUR</t>
  </si>
  <si>
    <t xml:space="preserve">https://www.insurancejournal.com/research/research/precision-recovery-how-ai-agents-unlock-the-full-value-of-water-damage-subrogation/</t>
  </si>
  <si>
    <t xml:space="preserve">AS-13</t>
  </si>
  <si>
    <t xml:space="preserve">Provisionnement dossier par dossier</t>
  </si>
  <si>
    <t xml:space="preserve">Propose la provision à l’ouverture et à chaque événement, explique la révision</t>
  </si>
  <si>
    <t xml:space="preserve">Validation du gestionnaire et contrôle actuariel</t>
  </si>
  <si>
    <t xml:space="preserve">Solvabilité II provisions techniques ; contrôle interne</t>
  </si>
  <si>
    <t xml:space="preserve">AS-14</t>
  </si>
  <si>
    <t xml:space="preserve">Conformité DDA et devoir de conseil</t>
  </si>
  <si>
    <t xml:space="preserve">Contrôle la cohérence besoin et produit, détecte le défaut de conseil, constitue la preuve</t>
  </si>
  <si>
    <t xml:space="preserve">Qualification du manquement</t>
  </si>
  <si>
    <t xml:space="preserve">DDA ; ACPR recommandations ; Annexe III 5(c) si le contrôle rétroagit sur la tarification vie et santé</t>
  </si>
  <si>
    <t xml:space="preserve">AS-15</t>
  </si>
  <si>
    <t xml:space="preserve">Santé, prise en charge et accord préalable</t>
  </si>
  <si>
    <t xml:space="preserve">Vérifie les droits, applique le référentiel de prise en charge, prépare l’accord</t>
  </si>
  <si>
    <t xml:space="preserve">N2 maximum</t>
  </si>
  <si>
    <t xml:space="preserve">aucune assumée publiquement</t>
  </si>
  <si>
    <t xml:space="preserve">Le refus doit rester médical et humain</t>
  </si>
  <si>
    <t xml:space="preserve">RGPD santé ; RGPD art. 22 ; contentieux nH Predict, ordonnance du 9 mars 2026</t>
  </si>
  <si>
    <t xml:space="preserve">Aucun, contre-exemple documenté</t>
  </si>
  <si>
    <t xml:space="preserve">ArentFox Schiff, mars 2026</t>
  </si>
  <si>
    <t xml:space="preserve">https://www.afslaw.com/perspectives/alerts/federal-court-orders-broad-discovery-against-uhc-ai-coverage-denial-lawsuit</t>
  </si>
  <si>
    <t xml:space="preserve">AS-16</t>
  </si>
  <si>
    <t xml:space="preserve">Vie, rachats, arbitrages et déshérence</t>
  </si>
  <si>
    <t xml:space="preserve">Traite la demande, contrôle la fiscalité et le bénéficiaire, prépare l’opération</t>
  </si>
  <si>
    <t xml:space="preserve">Validation des opérations de rachat et des dossiers de déshérence</t>
  </si>
  <si>
    <t xml:space="preserve">Loi Eckert ; fiscalité de l’assurance vie ; Annexe III 5(c) si un scoring de risque intervient</t>
  </si>
  <si>
    <t xml:space="preserve">AS-17</t>
  </si>
  <si>
    <t xml:space="preserve">Souscription vie et santé, préqualification</t>
  </si>
  <si>
    <t xml:space="preserve">Préqualifie la demande, oriente vers la tarification simplifiée ou la sélection médicale</t>
  </si>
  <si>
    <t xml:space="preserve">N1 assistif</t>
  </si>
  <si>
    <t xml:space="preserve">Décision de sélection médicale humaine</t>
  </si>
  <si>
    <t xml:space="preserve">Annexe III 5(c), 2 déc. 2027 ; RGPD santé</t>
  </si>
  <si>
    <t xml:space="preserve">Manulife, John Hancock Quick Quote et moteur MAUDE au Canada</t>
  </si>
  <si>
    <t xml:space="preserve">AS-18</t>
  </si>
  <si>
    <t xml:space="preserve">Routage et affectation des sinistres</t>
  </si>
  <si>
    <t xml:space="preserve">Achemine le sinistre vers le gestionnaire compétent dès la déclaration</t>
  </si>
  <si>
    <t xml:space="preserve">Contrôle du taux de réaffectation, indicateur natif</t>
  </si>
  <si>
    <t xml:space="preserve">Liberty Mutual, réduction des réaffectations, support temps réel</t>
  </si>
  <si>
    <t xml:space="preserve">Digital Insurance, 26 juin 2026, DÉCLARATIF sans chiffre</t>
  </si>
  <si>
    <t xml:space="preserve">AS-19</t>
  </si>
  <si>
    <t xml:space="preserve">Comparaison de contrats et de polices</t>
  </si>
  <si>
    <t xml:space="preserve">Compare les libellés de garantie entre versions et entre concurrents, signale les écarts</t>
  </si>
  <si>
    <t xml:space="preserve">Validation du souscripteur ou du juriste</t>
  </si>
  <si>
    <t xml:space="preserve">Hors Annexe III ; responsabilité de l’information</t>
  </si>
  <si>
    <t xml:space="preserve">Zurich, PolicyIQ dans la plateforme ZurichIQ</t>
  </si>
  <si>
    <t xml:space="preserve">AI News, 16 juin 2026, DÉCLARATIF</t>
  </si>
  <si>
    <t xml:space="preserve">https://www.artificialintelligence-news.com/news/insurers-pivot-ai-strategy-toward-core-risk-underwriting/</t>
  </si>
  <si>
    <t xml:space="preserve">AS-20</t>
  </si>
  <si>
    <t xml:space="preserve">Application des règles de souscription</t>
  </si>
  <si>
    <t xml:space="preserve">Contrôle la conformité du dossier aux standards de souscription, signale la dérogation</t>
  </si>
  <si>
    <t xml:space="preserve">N3 sur le contrôle</t>
  </si>
  <si>
    <t xml:space="preserve">Validation de la dérogation par un délégataire</t>
  </si>
  <si>
    <t xml:space="preserve">Solvabilité II gouvernance ; Annexe III 5(c) si vie ou santé</t>
  </si>
  <si>
    <t xml:space="preserve">Zurich, GuidelineIQ</t>
  </si>
  <si>
    <t xml:space="preserve">Paiements et commerce agentique</t>
  </si>
  <si>
    <t xml:space="preserve">PA-01</t>
  </si>
  <si>
    <t xml:space="preserve">Initiation de paiement par un agent</t>
  </si>
  <si>
    <t xml:space="preserve">Identifie le besoin, sélectionne le marchand, présente le mandat, déclenche l’autorisation</t>
  </si>
  <si>
    <t xml:space="preserve">N4 sous mandat borné</t>
  </si>
  <si>
    <t xml:space="preserve">N4 en pilote fermé</t>
  </si>
  <si>
    <t xml:space="preserve">Mandat cryptographique préalable, plafonds client et banque, piste d’audit</t>
  </si>
  <si>
    <t xml:space="preserve">DSP2 et authentification forte ; futur cadre DSP3 ; art. 50 ; DORA</t>
  </si>
  <si>
    <t xml:space="preserve">Santander avec Mastercard (mars 2026) ; ING avec Mastercard</t>
  </si>
  <si>
    <t xml:space="preserve">eMarketer ; Evident, 11 juin 2026, DÉCLARATIF</t>
  </si>
  <si>
    <t xml:space="preserve">https://www.emarketer.com/content/santander--mastercard-complete-first-ai-executed-commerce-payment</t>
  </si>
  <si>
    <t xml:space="preserve">PA-02</t>
  </si>
  <si>
    <t xml:space="preserve">Mandats, identité d’agent et autorisation</t>
  </si>
  <si>
    <t xml:space="preserve">Émet et vérifie le mandat, contrôle portée et plafond, révoque</t>
  </si>
  <si>
    <t xml:space="preserve">Révocation et journal des mandats</t>
  </si>
  <si>
    <t xml:space="preserve">5 écosystème, 3 pour une banque acceptant des mandats standards</t>
  </si>
  <si>
    <t xml:space="preserve">DSP2 ; qualification juridique du mandataire non humain non tranchée en droit UE</t>
  </si>
  <si>
    <t xml:space="preserve">AP2, ACP, Agent Pay, Visa Intelligent Commerce</t>
  </si>
  <si>
    <t xml:space="preserve">Note FMI 2026/004, 22 avril 2026, MESURÉ</t>
  </si>
  <si>
    <t xml:space="preserve">https://www.imf.org/-/media/files/publications/imf-notes/2026/english/insea2026004.pdf</t>
  </si>
  <si>
    <t xml:space="preserve">PA-03</t>
  </si>
  <si>
    <t xml:space="preserve">Fraude sur transactions initiées par agent</t>
  </si>
  <si>
    <t xml:space="preserve">Reconstruit la détection pour un contexte sans signaux comportementaux humains</t>
  </si>
  <si>
    <t xml:space="preserve">N3 en construction</t>
  </si>
  <si>
    <t xml:space="preserve">Seuils et blocages déterministes</t>
  </si>
  <si>
    <t xml:space="preserve">DSP2 ; DORA ; déclaration d’incident</t>
  </si>
  <si>
    <t xml:space="preserve">Mastercard, Visa Scam Disruption</t>
  </si>
  <si>
    <t xml:space="preserve">Teradata sur l’index Evident Payments 2026</t>
  </si>
  <si>
    <t xml:space="preserve">https://www.teradata.com/insights/ai-and-machine-learning/the-2026-evident-ai-payments-index</t>
  </si>
  <si>
    <t xml:space="preserve">PA-04</t>
  </si>
  <si>
    <t xml:space="preserve">Réconciliation et acceptation marchande</t>
  </si>
  <si>
    <t xml:space="preserve">Rapproche les flux, traite les écarts, relance</t>
  </si>
  <si>
    <t xml:space="preserve">Contrôle interne ; règles des réseaux</t>
  </si>
  <si>
    <t xml:space="preserve">Atlas 1, §6.4</t>
  </si>
  <si>
    <t xml:space="preserve">PA-05</t>
  </si>
  <si>
    <t xml:space="preserve">Trésorerie d’entreprise</t>
  </si>
  <si>
    <t xml:space="preserve">Voir BFI-14</t>
  </si>
  <si>
    <t xml:space="preserve">Approbation du trésorier, revue CFO, comité hebdomadaire</t>
  </si>
  <si>
    <t xml:space="preserve">Délégations ; séparation des tâches</t>
  </si>
  <si>
    <t xml:space="preserve">JPMorgan, HSBC</t>
  </si>
  <si>
    <t xml:space="preserve">Idem BFI-14</t>
  </si>
  <si>
    <t xml:space="preserve">Reconstitue la trace, identifie la banque la mieux placée, prépare la réponse d’enquête</t>
  </si>
  <si>
    <t xml:space="preserve">offre native annoncée</t>
  </si>
  <si>
    <t xml:space="preserve">Validation des cas de restitution de fonds</t>
  </si>
  <si>
    <t xml:space="preserve">Délais de réponse Swift ; DSP2 ; ISO 20022</t>
  </si>
  <si>
    <t xml:space="preserve">Pegasystems, solution d’exceptions et investigations à agentique native</t>
  </si>
  <si>
    <t xml:space="preserve">Communiqué Pega, ÉDITEUR</t>
  </si>
  <si>
    <t xml:space="preserve">https://seekingalpha.com/pr/20233728-pega-launches-first-payment-exceptions-and-investigations-solution-with-native-agentic</t>
  </si>
  <si>
    <t xml:space="preserve">PA-07</t>
  </si>
  <si>
    <t xml:space="preserve">Litiges et rétrofacturation, côté émetteur et acquéreur</t>
  </si>
  <si>
    <t xml:space="preserve">Voir BD-12, plus le versant acquéreur et marchand</t>
  </si>
  <si>
    <t xml:space="preserve">Validation des remboursements et des contestations de réseau</t>
  </si>
  <si>
    <t xml:space="preserve">Règles des réseaux ; DSP2</t>
  </si>
  <si>
    <t xml:space="preserve">Aucune institution nommée</t>
  </si>
  <si>
    <t xml:space="preserve">PA-08</t>
  </si>
  <si>
    <t xml:space="preserve">Entrée en relation marchand chez l’acquéreur</t>
  </si>
  <si>
    <t xml:space="preserve">Vérifie l’activité, le risque de secteur, le risque de rétrofacturation, prépare la décision</t>
  </si>
  <si>
    <t xml:space="preserve">Décision d’acceptation du marchand</t>
  </si>
  <si>
    <t xml:space="preserve">LCB-FT ; règles des réseaux</t>
  </si>
  <si>
    <t xml:space="preserve">PA-09</t>
  </si>
  <si>
    <t xml:space="preserve">Criblage des flux de paiement aux sanctions</t>
  </si>
  <si>
    <t xml:space="preserve">Trie les alertes, écarte les homonymies évidentes, documente la décision</t>
  </si>
  <si>
    <t xml:space="preserve">Validation de toute levée d’alerte sur liste sensible</t>
  </si>
  <si>
    <t xml:space="preserve">Règlements sanctions ; responsabilité pénale ; conservation</t>
  </si>
  <si>
    <t xml:space="preserve">PNO en banque nommée, D par éditeur</t>
  </si>
  <si>
    <t xml:space="preserve">WorkFusion, agent nommé Evan</t>
  </si>
  <si>
    <t xml:space="preserve">FinTech Global, 24 mars 2026, ÉDITEUR</t>
  </si>
  <si>
    <t xml:space="preserve">https://fintech.global/2026/03/24/ai-agents-cut-false-positives-in-aml-monitoring/</t>
  </si>
  <si>
    <t xml:space="preserve">PA-10</t>
  </si>
  <si>
    <t xml:space="preserve">Optimisation du routage et des coûts d’acceptation</t>
  </si>
  <si>
    <t xml:space="preserve">Choisit le réseau et le schéma d’autorisation selon coût et taux d’acceptation</t>
  </si>
  <si>
    <t xml:space="preserve">Contrôle du taux d’acceptation et de la conformité aux règles de réseau</t>
  </si>
  <si>
    <t xml:space="preserve">Règles des réseaux ; interchange</t>
  </si>
  <si>
    <t xml:space="preserve">Rassemble les preuves inter-systèmes, évalue au regard des typologies, rédige la note d’investigation</t>
  </si>
  <si>
    <t xml:space="preserve">L’enquêteur reste maître de chaque décision de clôture ou de déclaration</t>
  </si>
  <si>
    <t xml:space="preserve">Paquet LCB-FT et AMLA ; conservation ; guidance interagences par analogie</t>
  </si>
  <si>
    <t xml:space="preserve">FIS avec Anthropic ; BMO et Amalgamated Bank</t>
  </si>
  <si>
    <t xml:space="preserve">FIS, 4 mai 2026, DÉCLARATIF sans métrique</t>
  </si>
  <si>
    <t xml:space="preserve">https://www.fisglobal.com/about-us/media-room/press-release/2026/fis-brings-agentic-ai-to-banking-with-anthropic-starting-with-financial-crimes</t>
  </si>
  <si>
    <t xml:space="preserve">Lit et analyse les résultats de recherche défavorable, résume, propose l’escalade</t>
  </si>
  <si>
    <t xml:space="preserve">N3 chez un éditeur</t>
  </si>
  <si>
    <t xml:space="preserve">Routage des cas à risque le plus élevé vers un analyste</t>
  </si>
  <si>
    <t xml:space="preserve">LCB-FT ; RGPD ; conservation</t>
  </si>
  <si>
    <t xml:space="preserve">WorkFusion, agent Evan</t>
  </si>
  <si>
    <t xml:space="preserve">FT-03</t>
  </si>
  <si>
    <t xml:space="preserve">Rédaction de la déclaration de soupçon</t>
  </si>
  <si>
    <t xml:space="preserve">Rédige le projet de déclaration à partir du dossier d’investigation</t>
  </si>
  <si>
    <t xml:space="preserve">Signature du déclarant, engageante pénalement</t>
  </si>
  <si>
    <t xml:space="preserve">LCB-FT ; secret de la déclaration</t>
  </si>
  <si>
    <t xml:space="preserve">FT-04</t>
  </si>
  <si>
    <t xml:space="preserve">Risque de modèle et validation</t>
  </si>
  <si>
    <t xml:space="preserve">Prépare la documentation, rejoue les tests, surveille la dérive, alerte</t>
  </si>
  <si>
    <t xml:space="preserve">Avis de validation indépendante, signé</t>
  </si>
  <si>
    <t xml:space="preserve">Guidance interagences révisée du 17 avril 2026, qui exclut formellement la GenAI et l’agentique de son périmètre ; art. 14 AI Act pour le haut risque</t>
  </si>
  <si>
    <t xml:space="preserve">Synthèse Databricks</t>
  </si>
  <si>
    <t xml:space="preserve">https://www.databricks.com/blog/model-risk-management-2026-bankers-guide-revised-interagency-guidance</t>
  </si>
  <si>
    <t xml:space="preserve">FT-05</t>
  </si>
  <si>
    <t xml:space="preserve">Clôture comptable et justification de comptes</t>
  </si>
  <si>
    <t xml:space="preserve">Rapproche, propose les écritures d’inventaire, justifie les comptes, commente la variation</t>
  </si>
  <si>
    <t xml:space="preserve">N2 par produit</t>
  </si>
  <si>
    <t xml:space="preserve">Validation des écritures manuelles et du dossier de clôture</t>
  </si>
  <si>
    <t xml:space="preserve">Contrôle interne comptable ; SOX pour les émetteurs américains ; responsabilité du directeur financier</t>
  </si>
  <si>
    <t xml:space="preserve">Aucun établissement financier nommé</t>
  </si>
  <si>
    <t xml:space="preserve">Atlas 1, §7.3</t>
  </si>
  <si>
    <t xml:space="preserve">Propose le périmètre d’audit, génère les demandes de preuve contextualisées, route, relance, identifie les changements réglementaires affectant les contrôles</t>
  </si>
  <si>
    <t xml:space="preserve">N3 sur la logistique, N1 sur l’opinion</t>
  </si>
  <si>
    <t xml:space="preserve">N3 hors finance</t>
  </si>
  <si>
    <t xml:space="preserve">L’auditeur garde les décisions clés ; l’opinion d’audit n’est jamais générée</t>
  </si>
  <si>
    <t xml:space="preserve">Normes IIA ; troisième ligne de défense ; attentes de supervision sur l’auditabilité</t>
  </si>
  <si>
    <t xml:space="preserve">D+C par transposition</t>
  </si>
  <si>
    <t xml:space="preserve">Diligent AuditAI, client nommé Crown Castle</t>
  </si>
  <si>
    <t xml:space="preserve">Businesswire, 10 mars 2026, ÉDITEUR avec client nommé</t>
  </si>
  <si>
    <t xml:space="preserve">https://secure.businesswire.com/news/home/20260310277035/en/Diligent-Debuts-AuditAI-at-IIA-GAM-2026-Bringing-Early-Warning-Signals-to-Internal-Audit-and-the-Boardroom</t>
  </si>
  <si>
    <t xml:space="preserve">FT-07</t>
  </si>
  <si>
    <t xml:space="preserve">Juridique, revue de contrats et migration de portefeuille contractuel</t>
  </si>
  <si>
    <t xml:space="preserve">Revoit les contrats existants, extrait les clauses sensibles, structure les métadonnées, migre vers l’outil de gestion</t>
  </si>
  <si>
    <t xml:space="preserve">Validation juridique de chaque qualification</t>
  </si>
  <si>
    <t xml:space="preserve">Secret professionnel ; responsabilité ; précédent Air Canada sur l’opposabilité</t>
  </si>
  <si>
    <t xml:space="preserve">Axiom et Legora, quatre missions</t>
  </si>
  <si>
    <t xml:space="preserve">FT-08</t>
  </si>
  <si>
    <t xml:space="preserve">Génie logiciel</t>
  </si>
  <si>
    <t xml:space="preserve">Cadre le besoin, écrit, teste, soumet en revue, corrige</t>
  </si>
  <si>
    <t xml:space="preserve">Revue de pull request obligatoire avant fusion</t>
  </si>
  <si>
    <t xml:space="preserve">DORA gestion du changement et tests ; sécurité de la chaîne logicielle ; précédent Replit</t>
  </si>
  <si>
    <t xml:space="preserve">Goldman Sachs (Devin, Claude) ; NatWest ; Lloyds ; BNY</t>
  </si>
  <si>
    <t xml:space="preserve">Atlas 1, §7.6 ; Banking Dive, 14 novembre 2025, DÉCLARATIF</t>
  </si>
  <si>
    <t xml:space="preserve">https://www.bankingdive.com/news/ai-supervisor-role-growing-banks-bny-citi/805469/</t>
  </si>
  <si>
    <t xml:space="preserve">FT-09</t>
  </si>
  <si>
    <t xml:space="preserve">Ressources humaines, support aux collaborateurs</t>
  </si>
  <si>
    <t xml:space="preserve">Répond aux demandes RH, retrouve la règle applicable, oriente</t>
  </si>
  <si>
    <t xml:space="preserve">N3 sur l’information</t>
  </si>
  <si>
    <t xml:space="preserve">Escalade sur les cas individuels et disciplinaires</t>
  </si>
  <si>
    <t xml:space="preserve">Hors Annexe III pour l’information ; Annexe III 4 pour recrutement, sélection, affectation, évaluation ; consultation des instances</t>
  </si>
  <si>
    <t xml:space="preserve">Lloyds Banking Group, assistant RH</t>
  </si>
  <si>
    <t xml:space="preserve">FT-10</t>
  </si>
  <si>
    <t xml:space="preserve">Recrutement, présélection et évaluation</t>
  </si>
  <si>
    <t xml:space="preserve">Trie les candidatures, ordonne, propose une évaluation</t>
  </si>
  <si>
    <t xml:space="preserve">N1 seulement avant décembre 2027</t>
  </si>
  <si>
    <t xml:space="preserve">aucune nommée en finance</t>
  </si>
  <si>
    <t xml:space="preserve">Décision humaine sur toute sélection ; information des candidats</t>
  </si>
  <si>
    <t xml:space="preserve">3 technique, 5 conformité</t>
  </si>
  <si>
    <t xml:space="preserve">Annexe III 4, 2 déc. 2027 (report provisoire) ; droit du travail ; RGPD</t>
  </si>
  <si>
    <t xml:space="preserve">Crowell, panorama UE 2026</t>
  </si>
  <si>
    <t xml:space="preserve">https://www.crowell.com/en/insights/client-alerts/artificial-intelligence-and-human-resources-in-the-eu-a-2026-legal-overview</t>
  </si>
  <si>
    <t xml:space="preserve">FT-11</t>
  </si>
  <si>
    <t xml:space="preserve">Risque tiers et registre DORA</t>
  </si>
  <si>
    <t xml:space="preserve">Tient le registre d’information, détecte les contrats non conformes, prépare les tests de sortie</t>
  </si>
  <si>
    <t xml:space="preserve">Validation du registre déposé au superviseur</t>
  </si>
  <si>
    <t xml:space="preserve">DORA ; 19 prestataires tiers critiques désignés le 18 novembre 2025</t>
  </si>
  <si>
    <t xml:space="preserve">ESMA</t>
  </si>
  <si>
    <t xml:space="preserve">https://www.esma.europa.eu/press-news/esma-news/european-supervisory-authorities-designate-critical-ict-third-party-providers</t>
  </si>
  <si>
    <t xml:space="preserve">FT-12</t>
  </si>
  <si>
    <t xml:space="preserve">Cybersécurité, gestion des vulnérabilités</t>
  </si>
  <si>
    <t xml:space="preserve">Corrige de façon autonome les problèmes de code de faible complexité, rend compte, escalade la complexité élevée</t>
  </si>
  <si>
    <t xml:space="preserve">N3 sous seuil de complexité</t>
  </si>
  <si>
    <t xml:space="preserve">Escalade automatique vers un responsable humain au-delà du seuil</t>
  </si>
  <si>
    <t xml:space="preserve">DORA ; NIS2 ; gestion du changement</t>
  </si>
  <si>
    <t xml:space="preserve">BNY, agents « ingénieurs numériques »</t>
  </si>
  <si>
    <t xml:space="preserve">Banking Dive, 14 novembre 2025, DÉCLARATIF</t>
  </si>
  <si>
    <t xml:space="preserve">FT-13</t>
  </si>
  <si>
    <t xml:space="preserve">Gestion de la connaissance et recherche interne</t>
  </si>
  <si>
    <t xml:space="preserve">Recherche, synthétise, cite la procédure applicable</t>
  </si>
  <si>
    <t xml:space="preserve">Contrôle éditorial du corpus, pas de la réponse</t>
  </si>
  <si>
    <t xml:space="preserve">Lloyds, Athena</t>
  </si>
  <si>
    <t xml:space="preserve">FT-14</t>
  </si>
  <si>
    <t xml:space="preserve">Contrôle permanent et deuxième ligne de défense</t>
  </si>
  <si>
    <t xml:space="preserve">Exécute les contrôles de second niveau, échantillonne, documente, alerte</t>
  </si>
  <si>
    <t xml:space="preserve">N3 sur l’exécution, N1 sur la conclusion</t>
  </si>
  <si>
    <t xml:space="preserve">Conclusion et notation du contrôle par un contrôleur nommé</t>
  </si>
  <si>
    <t xml:space="preserve">Arrêté du 3 novembre 2014 ; dispositif de contrôle interne</t>
  </si>
  <si>
    <t xml:space="preserve">FT-15</t>
  </si>
  <si>
    <t xml:space="preserve">Reporting prudentiel COREP et FINREP</t>
  </si>
  <si>
    <t xml:space="preserve">Contrôle la cohérence, corrige les rejets, prépare la remise</t>
  </si>
  <si>
    <t xml:space="preserve">N2 par éditeur</t>
  </si>
  <si>
    <t xml:space="preserve">Validation avant remise au superviseur</t>
  </si>
  <si>
    <t xml:space="preserve">CRR ; BCBS 239 ; DORA</t>
  </si>
  <si>
    <t xml:space="preserve">Regnology</t>
  </si>
  <si>
    <t xml:space="preserve">A-Team, 27 juillet 2026, DÉCLARATIF sans métrique</t>
  </si>
  <si>
    <t xml:space="preserve">FT-16</t>
  </si>
  <si>
    <t xml:space="preserve">Rapportage de durabilité CSRD</t>
  </si>
  <si>
    <t xml:space="preserve">Collecte les indicateurs, retrouve les preuves, rédige les sections, prépare l’audit</t>
  </si>
  <si>
    <t xml:space="preserve">Validation avant publication, information réglementée</t>
  </si>
  <si>
    <t xml:space="preserve">CSRD ; assurance limitée du commissaire aux comptes</t>
  </si>
  <si>
    <t xml:space="preserve">FT-17</t>
  </si>
  <si>
    <t xml:space="preserve">Contrôle de gestion et pilotage budgétaire</t>
  </si>
  <si>
    <t xml:space="preserve">Explique les écarts, prépare les prévisions, produit les liasses de pilotage</t>
  </si>
  <si>
    <t xml:space="preserve">Validation du contrôleur de gestion</t>
  </si>
  <si>
    <t xml:space="preserve">Gouvernance interne</t>
  </si>
  <si>
    <t xml:space="preserve">FT-18</t>
  </si>
  <si>
    <t xml:space="preserve">Fiscalité, veille et déclarations</t>
  </si>
  <si>
    <t xml:space="preserve">Suit les évolutions, prépare les déclarations et la documentation de prix de transfert</t>
  </si>
  <si>
    <t xml:space="preserve">Signature du déclarant fiscal</t>
  </si>
  <si>
    <t xml:space="preserve">Droit fiscal ; documentation de prix de transfert</t>
  </si>
  <si>
    <t xml:space="preserve">FT-19</t>
  </si>
  <si>
    <t xml:space="preserve">Communication financière et relations investisseurs</t>
  </si>
  <si>
    <t xml:space="preserve">Prépare les questions et réponses, vérifie la cohérence avec les publications antérieures</t>
  </si>
  <si>
    <t xml:space="preserve">Validation du directeur financier ; risque de survente d’IA sanctionné par la SEC</t>
  </si>
  <si>
    <t xml:space="preserve">Information réglementée ; abus de marché ; actions SEC sur l’« AI washing »</t>
  </si>
  <si>
    <t xml:space="preserve">FT-20</t>
  </si>
  <si>
    <t xml:space="preserve">Formation et montée en compétence</t>
  </si>
  <si>
    <t xml:space="preserve">Construit les parcours, évalue, produit les cas pratiques</t>
  </si>
  <si>
    <t xml:space="preserve">Validation pédagogique</t>
  </si>
  <si>
    <t xml:space="preserve">Annexe III 4 si l’outil sert à l’évaluation des salariés</t>
  </si>
  <si>
    <t xml:space="preserve">Lloyds, AI Academy annoncée pour 2026</t>
  </si>
  <si>
    <t xml:space="preserve">FT-21</t>
  </si>
  <si>
    <t xml:space="preserve">Gouvernance des agents : registre, supervision, contrôle de dérive</t>
  </si>
  <si>
    <t xml:space="preserve">Tient le registre des agents, surveille les actions hors périmètre, produit la preuve pour le superviseur</t>
  </si>
  <si>
    <t xml:space="preserve">N2 émergent</t>
  </si>
  <si>
    <t xml:space="preserve">Rôle humain de superviseur d’agents, avec revue de performance</t>
  </si>
  <si>
    <t xml:space="preserve">DORA ; FSB pratiques saines ; art. 14 AI Act ; FINRA 2026</t>
  </si>
  <si>
    <t xml:space="preserve">BNY, agent « Payment Pete » traité comme un coéquipier affecté, avec indicateurs de performance et supervision humaine</t>
  </si>
  <si>
    <t xml:space="preserve">FT-22</t>
  </si>
  <si>
    <t xml:space="preserve">Migration de systèmes et réduction de dette technique</t>
  </si>
  <si>
    <t xml:space="preserve">Convertit le code des systèmes établis, documente, teste</t>
  </si>
  <si>
    <t xml:space="preserve">Revue humaine et tests de non-régression</t>
  </si>
  <si>
    <t xml:space="preserve">DORA gestion du changement</t>
  </si>
  <si>
    <t xml:space="preserve">Lloyds, conversion de code des systèmes établis</t>
  </si>
  <si>
    <t xml:space="preserve">ACADEWIE  ·  CLASSEUR DE CALCUL  ·  SOURCES DES VALEURS PAR DÉFAUT</t>
  </si>
  <si>
    <t xml:space="preserve">Feuille 8  ·  SOURCES  ·  intitulé, émetteur, date, statut et variables concernées</t>
  </si>
  <si>
    <t xml:space="preserve">Recherche arrêtée au 11 août 2026. Une valeur par défaut sans source porte la mention hypothèse de l’étude ou heuristique de l’étude en feuille 2, et le classeur en compte la part.</t>
  </si>
  <si>
    <t xml:space="preserve">Intitulé exact</t>
  </si>
  <si>
    <t xml:space="preserve">Auteur ou émetteur</t>
  </si>
  <si>
    <t xml:space="preserve">Date</t>
  </si>
  <si>
    <t xml:space="preserve">Variables concernées et ce que la source établit</t>
  </si>
  <si>
    <t xml:space="preserve">Adresse</t>
  </si>
  <si>
    <t xml:space="preserve">Publications revues par les pairs et travaux académiques</t>
  </si>
  <si>
    <t xml:space="preserve">Generative AI at Work</t>
  </si>
  <si>
    <t xml:space="preserve">Erik Brynjolfsson, Danielle Li, Lindsey R. Raymond, The Quarterly Journal of Economics, vol. 140, n° 2, p. 889 à 942</t>
  </si>
  <si>
    <t xml:space="preserve">avril 2025</t>
  </si>
  <si>
    <t xml:space="preserve">constat mesuré, revue par les pairs</t>
  </si>
  <si>
    <t xml:space="preserve">Structure de l’effet de productivité, +14 % en moyenne, +34 % chez les débutants, effet minimal chez les experts. Cadre la variable t1.</t>
  </si>
  <si>
    <t xml:space="preserve">https://academic.oup.com/qje/article/140/2/889/7990658</t>
  </si>
  <si>
    <t xml:space="preserve">When combinations of humans and AI are useful: a systematic review and meta-analysis</t>
  </si>
  <si>
    <t xml:space="preserve">Michelle Vaccaro, Abdullah Almaatouq, Thomas Malone, Nature Human Behaviour</t>
  </si>
  <si>
    <t xml:space="preserve">28 octobre 2024</t>
  </si>
  <si>
    <t xml:space="preserve">V30 et V31, critère de placement du contrôle humain. 106 études, 370 tailles d’effet, g = −0,23 en agrégé, +0,46 et −0,54 selon la configuration dominante.</t>
  </si>
  <si>
    <t xml:space="preserve">https://www.nature.com/articles/s41562-024-02024-1</t>
  </si>
  <si>
    <t xml:space="preserve">Measuring the Impact of Early-2025 AI on Experienced Open-Source Developer Productivity</t>
  </si>
  <si>
    <t xml:space="preserve">METR, arXiv:2507.09089</t>
  </si>
  <si>
    <t xml:space="preserve">10 juillet 2025, protocole modifié le 24 février 2026</t>
  </si>
  <si>
    <t xml:space="preserve">constat mesuré, essai contrôlé randomisé, 16 sujets</t>
  </si>
  <si>
    <t xml:space="preserve">Garde-fou n° 1 : 43 points d’écart entre productivité perçue et mesurée. Interdit toute entrée en pourcentage de productivité.</t>
  </si>
  <si>
    <t xml:space="preserve">https://metr.org/blog/2025-07-10-early-2025-ai-experienced-os-dev-study/</t>
  </si>
  <si>
    <t xml:space="preserve">Benchmarking Multi-Agent LLM Architectures for Financial Document Processing</t>
  </si>
  <si>
    <t xml:space="preserve">Siddhant Kulkarni, Yukta Kulkarni, arXiv:2603.22651</t>
  </si>
  <si>
    <t xml:space="preserve">24 mars 2026</t>
  </si>
  <si>
    <t xml:space="preserve">publication avec méthodologie, préprint non revu par les pairs</t>
  </si>
  <si>
    <t xml:space="preserve">Arbitrage coût contre précision sur 10 000 dépôts SEC. Cadre la variable cinf et le choix d’architecture.</t>
  </si>
  <si>
    <t xml:space="preserve">https://arxiv.org/abs/2603.22651</t>
  </si>
  <si>
    <t xml:space="preserve">Toward Auditable Fraud Detection: Combining Graph Features, Model Explanations, and Agentic Case Investigation</t>
  </si>
  <si>
    <t xml:space="preserve">Rahil Sharma, arXiv:2607.19266</t>
  </si>
  <si>
    <t xml:space="preserve">21 juillet 2026</t>
  </si>
  <si>
    <t xml:space="preserve">publication avec méthodologie, données simulées PaySim</t>
  </si>
  <si>
    <t xml:space="preserve">V28, V29 et V32. Agent 65,0 % contre ligne de base 71,7 % ; 6 des 8 modifications de décision remplacent une décision correcte par une erreur ; la règle de désaccord signale 2 des 6 erreurs.</t>
  </si>
  <si>
    <t xml:space="preserve">https://arxiv.org/abs/2607.19266</t>
  </si>
  <si>
    <t xml:space="preserve">Artificial Intelligence, Productivity, and the Workforce: Evidence from Corporate Executives</t>
  </si>
  <si>
    <t xml:space="preserve">Federal Reserve Bank of Atlanta, document de travail</t>
  </si>
  <si>
    <t xml:space="preserve">25 mars 2026</t>
  </si>
  <si>
    <t xml:space="preserve">publication avec méthodologie de banque centrale, sur enquête déclarative</t>
  </si>
  <si>
    <t xml:space="preserve">Effet mesuré le plus fort dans les services à forte qualification et la finance ; gains perçus supérieurs aux gains mesurés.</t>
  </si>
  <si>
    <t xml:space="preserve">https://www.atlantafed.org/research-and-data/publications/working-papers/2026/03/25/04-artificial-intelligence-productivity-and-the-workforce-evidence-from-corporate-executives</t>
  </si>
  <si>
    <t xml:space="preserve">Institutions financières et entreprises</t>
  </si>
  <si>
    <t xml:space="preserve">Nubank, service client de niveau 1, arXiv 2606.08867, accepté à KDD 2026</t>
  </si>
  <si>
    <t xml:space="preserve">Nubank</t>
  </si>
  <si>
    <t xml:space="preserve">2026</t>
  </si>
  <si>
    <t xml:space="preserve">constat mesuré, méthodologie publiée pour l’appareil d’évaluation</t>
  </si>
  <si>
    <t xml:space="preserve">V08, taux d’automatisation de 55 %. V11, audit de 100 % des conversations par juge automatique sur trois critères binaires, avec suivi de l’accord inter-évaluateurs.</t>
  </si>
  <si>
    <t xml:space="preserve">TD Bank Says AI Is Cutting Mortgage Approvals From 15 Hours to 3 Minutes</t>
  </si>
  <si>
    <t xml:space="preserve">PYMNTS, déclaration de Raymond Chun en conférence de résultats du deuxième trimestre 2026</t>
  </si>
  <si>
    <t xml:space="preserve">mai 2026, déclaration du 28 mai 2026</t>
  </si>
  <si>
    <t xml:space="preserve">déclaratif non audité, seconde main</t>
  </si>
  <si>
    <t xml:space="preserve">V03, borne de compression de délai, facteur d’environ 300 sur une étape amont de pré-adjudication. La décision de crédit reste hors périmètre.</t>
  </si>
  <si>
    <t xml:space="preserve">https://www.pymnts.com/earnings/2026/td-bank-says-ai-is-cutting-mortgage-approvals-from-15-hours-to-3-minutes/</t>
  </si>
  <si>
    <t xml:space="preserve">Anthropic doubles its estimate of what Claude Code tokens will cost engineers</t>
  </si>
  <si>
    <t xml:space="preserve">Yahoo Finance, reprise de l’annonce Anthropic du 15 avril 2026 pour effet au 16 avril 2026</t>
  </si>
  <si>
    <t xml:space="preserve">avril 2026</t>
  </si>
  <si>
    <t xml:space="preserve">constat mesuré de fournisseur sur sa propre base</t>
  </si>
  <si>
    <t xml:space="preserve">V15, dérive du coût d’inférence : estimation officielle portée de 6 $ à 13 $ par développeur et par jour actif en quatorze mois, soit +117 %, à prix de liste inchangé.</t>
  </si>
  <si>
    <t xml:space="preserve">https://finance.yahoo.com/sectors/technology/articles/anthropic-quietly-doubles-estimate-much-220101627.html</t>
  </si>
  <si>
    <t xml:space="preserve">Veille, indices et enquêtes</t>
  </si>
  <si>
    <t xml:space="preserve">Outcomes Report 2025</t>
  </si>
  <si>
    <t xml:space="preserve">Evident Insights</t>
  </si>
  <si>
    <t xml:space="preserve">1er août 2025</t>
  </si>
  <si>
    <t xml:space="preserve">Borne du dossier économique : 30 % seulement des 173 nouveaux cas d’usage annoncés par 47 grandes banques publient une mesure d’impact. V12, érosion, part des cas assurance publiés avec un résultat passée de 38 % à 18 % en un trimestre, premier trimestre 2026.</t>
  </si>
  <si>
    <t xml:space="preserve">https://evidentinsights.com/insights/outcomes-report/</t>
  </si>
  <si>
    <t xml:space="preserve">AI project failure rates are on the rise: report</t>
  </si>
  <si>
    <t xml:space="preserve">CIO Dive, reprenant S&amp;P Global Market Intelligence, plus de 1 000 répondants, titre du rapport non nommé dans les reprises consultées</t>
  </si>
  <si>
    <t xml:space="preserve">2025</t>
  </si>
  <si>
    <t xml:space="preserve">V22, probabilité d’échec : 42 % d’abandon de la majorité des initiatives IA en 2025 contre 17 % un an plus tôt, 46 % de preuves de concept arrêtées.</t>
  </si>
  <si>
    <t xml:space="preserve">https://www.ciodive.com/news/AI-project-fail-data-SPGlobal/742590/</t>
  </si>
  <si>
    <t xml:space="preserve">AI in Financial Services Survey Shows Productivity Gains Across the Board</t>
  </si>
  <si>
    <t xml:space="preserve">Bain &amp; Company, 109 institutions financières américaines</t>
  </si>
  <si>
    <t xml:space="preserve">16 décembre 2024</t>
  </si>
  <si>
    <t xml:space="preserve">enquête déclarative, antérieure de deux ans à la vague agentique, aucune donnée agentique</t>
  </si>
  <si>
    <t xml:space="preserve">V06, V19, V37 et V38, tests de vraisemblance : 22,1 M$ d’investissement IA annuel moyen pour environ 270 équivalents temps plein, soit 82 000 $ par ETP tous coûts confondus.</t>
  </si>
  <si>
    <t xml:space="preserve">https://www.bain.com/insights/ai-in-financial-services-survey-shows-productivity-gains-across-the-board/</t>
  </si>
  <si>
    <t xml:space="preserve">AI at Work 2025</t>
  </si>
  <si>
    <t xml:space="preserve">BCG, 10 635 répondants</t>
  </si>
  <si>
    <t xml:space="preserve">V17 et V18, conduite du changement : seuil utile de 5 à 10 heures de formation par utilisateur, présentiel +12 points d’adoption, accompagnateur +14 points. Également 26 % dépassant la preuve de concept, convergent avec V22.</t>
  </si>
  <si>
    <t xml:space="preserve">https://www.bcg.com/publications/2025/ai-at-work-momentum-builds-but-gaps-remain</t>
  </si>
  <si>
    <t xml:space="preserve">Capgemini, enquête de juin et juillet 2025, communiqué du 12 novembre 2025</t>
  </si>
  <si>
    <t xml:space="preserve">Capgemini Research Institute</t>
  </si>
  <si>
    <t xml:space="preserve">12 novembre 2025, enquête de juin et juillet 2025</t>
  </si>
  <si>
    <t xml:space="preserve">V21, ancrage indirect de la gouvernance : 48 % des institutions prévoient de créer des rôles de superviseur ou de coordinateur d’agents. Antériorité de douze mois à annoncer à chaque citation.</t>
  </si>
  <si>
    <t xml:space="preserve">https://www.capgemini.com/news/press-releases/</t>
  </si>
  <si>
    <t xml:space="preserve">New study: most organizations have abandoned human AI oversight</t>
  </si>
  <si>
    <t xml:space="preserve">JumpCloud, Q3 2026 IT Trends Report</t>
  </si>
  <si>
    <t xml:space="preserve">14 juillet 2026</t>
  </si>
  <si>
    <t xml:space="preserve">signal de tendance transsectoriel, ni taille d’échantillon ni profil des répondants publiés</t>
  </si>
  <si>
    <t xml:space="preserve">Garde-fou n° 3 : la part d’organisations exigeant une revue humaine des actions à haut risque passe de 40 % à 25 % en six mois. À citer comme signal, jamais comme mesure, et toujours avec cette réserve.</t>
  </si>
  <si>
    <t xml:space="preserve">https://www.prnewswire.com/news-releases/new-study-most-organizations-have-abandoned-human-ai-oversight-302825345.html</t>
  </si>
  <si>
    <t xml:space="preserve">2026 State of Software Delivery Report</t>
  </si>
  <si>
    <t xml:space="preserve">CircleCI, 28 738 317 flux de travail</t>
  </si>
  <si>
    <t xml:space="preserve">constat mesuré par instrumentation, hors finance</t>
  </si>
  <si>
    <t xml:space="preserve">V04, corroboration du mécanisme de reprise : accélération moyenne de 59 % masquant une médiane à 4 % et un quartile inférieur négatif.</t>
  </si>
  <si>
    <t xml:space="preserve">https://circleci.com/landing-pages/assets/2026-state-of-software-delivery-report.pdf</t>
  </si>
  <si>
    <t xml:space="preserve">Prix affichés, tarification et coûts de fournisseurs</t>
  </si>
  <si>
    <t xml:space="preserve">Benchmark Aider polyglot, 225 exercices</t>
  </si>
  <si>
    <t xml:space="preserve">Aider</t>
  </si>
  <si>
    <t xml:space="preserve">juillet 2026</t>
  </si>
  <si>
    <t xml:space="preserve">benchmark public</t>
  </si>
  <si>
    <t xml:space="preserve">V13, borne basse du coût d’inférence : 0,009 à 0,129 $ par tâche courte au prix catalogue.</t>
  </si>
  <si>
    <t xml:space="preserve">https://aider.chat/docs/leaderboards/</t>
  </si>
  <si>
    <t xml:space="preserve">Cost to Run AI Agents at Scale: The Full TCO Breakdown 2026</t>
  </si>
  <si>
    <t xml:space="preserve">Atlan</t>
  </si>
  <si>
    <t xml:space="preserve">13 juillet 2026</t>
  </si>
  <si>
    <t xml:space="preserve">source de fournisseur, à citer avec sa nature</t>
  </si>
  <si>
    <t xml:space="preserve">V13, borne haute et décomposition de session : la surcharge de contexte représente 85 à 95 % des jetons consommés dans une session agentique.</t>
  </si>
  <si>
    <t xml:space="preserve">https://atlan.com/know/ai-agent/cost-to-run-ai-agents-at-scale/</t>
  </si>
  <si>
    <t xml:space="preserve">AI Agent Pricing Compared: Fin vs Zendesk vs Agentforce</t>
  </si>
  <si>
    <t xml:space="preserve">Intercom, prix affichés compilés par un concurrent direct</t>
  </si>
  <si>
    <t xml:space="preserve">V16, coût d’intégration, et régimes de tarification à l’événement, au résultat autodéclaré et au résultat vérifié par un modèle distinct.</t>
  </si>
  <si>
    <t xml:space="preserve">https://www.intercom.com/learning-center/ai-customer-service-agent-pricing-comparison</t>
  </si>
  <si>
    <t xml:space="preserve">Best AI chatbots for banks in 2026</t>
  </si>
  <si>
    <t xml:space="preserve">Gradient Labs</t>
  </si>
  <si>
    <t xml:space="preserve">déclaratif éditeur</t>
  </si>
  <si>
    <t xml:space="preserve">V08, borne haute du taux d’automatisation : 60 % au premier jour, 80 à 90 % en déploiement mature. Jamais opposable seul.</t>
  </si>
  <si>
    <t xml:space="preserve">https://gradient-labs.ai/guides/best-ai-chatbots-for-banks</t>
  </si>
  <si>
    <t xml:space="preserve">The Hidden Cost of Agentic AI: Why Most Projects Still Die Before Production</t>
  </si>
  <si>
    <t xml:space="preserve">Splunk, Paul Lacey</t>
  </si>
  <si>
    <t xml:space="preserve">29 juin 2026</t>
  </si>
  <si>
    <t xml:space="preserve">Nomenclature des postes de coût non couverts par un devis. Aucun chiffre n’en est repris.</t>
  </si>
  <si>
    <t xml:space="preserve">https://www.splunk.com/en_us/blog/observability/why-most-projects-still-die-before-production.html</t>
  </si>
  <si>
    <t xml:space="preserve">When AI overwhelms the human in the loop</t>
  </si>
  <si>
    <t xml:space="preserve">Banking Dive, Mazy Dar, contenu sponsorisé</t>
  </si>
  <si>
    <t xml:space="preserve">3 août 2026</t>
  </si>
  <si>
    <t xml:space="preserve">contenu sponsorisé, corroboration qualitative seulement</t>
  </si>
  <si>
    <t xml:space="preserve">V04, coût de reconstitution du contexte lors de la reprise d’un dossier escaladé. Aucun chiffre n’en est repris.</t>
  </si>
  <si>
    <t xml:space="preserve">https://www.bankingdive.com/spons/when-ai-overwhelms-the-human-in-the-loop/826210/</t>
  </si>
  <si>
    <t xml:space="preserve">Régulateurs, textes et jurisprudence servant d’ancrage au coût d’incident</t>
  </si>
  <si>
    <t xml:space="preserve">Règlement (UE) 2024/1689 établissant des règles harmonisées concernant l’intelligence artificielle</t>
  </si>
  <si>
    <t xml:space="preserve">Union européenne</t>
  </si>
  <si>
    <t xml:space="preserve">article 50 applicable depuis le 2 août 2026 ; Annexe III reportée au 2 décembre 2027, report provisoire issu de l’accord Digital Omnibus du 6 mai 2026</t>
  </si>
  <si>
    <t xml:space="preserve">texte réglementaire</t>
  </si>
  <si>
    <t xml:space="preserve">V26, horizon de calcul. Article 26 paragraphe 2 sur le contrôle humain, article 14 sur la surveillance humaine des systèmes à haut risque.</t>
  </si>
  <si>
    <t xml:space="preserve">https://eur-lex.europa.eu/eli/reg/2024/1689/oj</t>
  </si>
  <si>
    <t xml:space="preserve">Règlement (UE) 2022/2554 sur la résilience opérationnelle numérique du secteur financier</t>
  </si>
  <si>
    <t xml:space="preserve">19 prestataires tiers critiques désignés le 18 novembre 2025</t>
  </si>
  <si>
    <t xml:space="preserve">V24 et V33, ancrage du coût d’incident : pénalités pouvant atteindre 1 % du chiffre d’affaires quotidien mondial moyen par jour de manquement pour un prestataire critique.</t>
  </si>
  <si>
    <t xml:space="preserve">https://eur-lex.europa.eu/eli/reg/2022/2554/oj</t>
  </si>
  <si>
    <t xml:space="preserve">Actions de la Securities and Exchange Commission pour survente de capacités d’intelligence artificielle</t>
  </si>
  <si>
    <t xml:space="preserve">Securities and Exchange Commission</t>
  </si>
  <si>
    <t xml:space="preserve">2024 et 2025</t>
  </si>
  <si>
    <t xml:space="preserve">V24 et V33, ancrage du coût d’incident : sanctions de 175 000 $ et de 225 000 $.</t>
  </si>
  <si>
    <t xml:space="preserve">https://www.sec.gov/newsroom/press-releases/2024-36</t>
  </si>
  <si>
    <t xml:space="preserve">Code du travail, durée annuelle de référence de 1 607 heures</t>
  </si>
  <si>
    <t xml:space="preserve">République française</t>
  </si>
  <si>
    <t xml:space="preserve">en vigueur</t>
  </si>
  <si>
    <t xml:space="preserve">V07, heures annuelles travaillées par équivalent temps plein.</t>
  </si>
  <si>
    <t xml:space="preserve">https://www.legifrance.gouv.fr/codes/section_lc/LEGITEXT000006072050/LEGISCTA000006178003/</t>
  </si>
  <si>
    <t xml:space="preserve">Sources du tableau maître des 120 cas d’usage</t>
  </si>
  <si>
    <t xml:space="preserve">Atlas 2 de l’étude, univers exhaustif des cas d’usage agentiques en finance</t>
  </si>
  <si>
    <t xml:space="preserve">Acadewie, à partir de sources nommées, datées et qualifiées cas par cas</t>
  </si>
  <si>
    <t xml:space="preserve">arrêté au 11 août 2026</t>
  </si>
  <si>
    <t xml:space="preserve">compilation de l’étude, statut de preuve porté ligne par ligne</t>
  </si>
  <si>
    <t xml:space="preserve">Feuille 7. Chaque ligne porte sa source, sa date et son statut de preuve dans les deux dernières colonnes du tableau.</t>
  </si>
  <si>
    <t xml:space="preserve">Chiffres écartés par la liste d’interdiction de l’étude et absents de ce classeur : le retour de 2,3x en 13 mois attribué à IDC, les 95 % de pilotes sans retour du projet MIT NANDA, le coût d’interaction passé de 0,04 $ à 1,20 $ attribué à une étude EY, le ratio de 5 à 30 fois plus de jetons attribué à Gartner, la dépense IA mensuelle moyenne attribuée à CloudZero, le coût d’un appel traité par l’IA chez KeyBank, les 30 à 40 % de réduction de coût KYC de l’EDM Council, les benchmarks de cabinet à client anonyme, et toute prévision de valeur de marché présentée en constat.</t>
  </si>
  <si>
    <t xml:space="preserve">Feuille 1  ·  MODE D’EMPLOI  ·  modèle de retour ajusté du risque  ·  version 1.0, modèle arrêté au 11 août 2026</t>
  </si>
  <si>
    <t xml:space="preserve">MODÈLE DE SIMULATION, ET NON DONNÉES OBSERVÉES.  Ce classeur calcule des projections à partir d’hypothèses que vous saisissez ; aucun chiffre qu’il produit n’est une mesure relevée en production, chez Acadewie ou ailleurs. Les valeurs par défaut sont des hypothèses d’étude, des heuristiques ou des constats documentés d’absence de donnée publique : leur statut figure ligne à ligne en feuille 2 et leurs sources en feuille 8. Les résultats ne deviennent une mesure qu’une fois les entrées remplacées par vos propres relevés.</t>
  </si>
  <si>
    <t xml:space="preserve">Acadewie  ·  Mounir Fassouane  ·  Classeur de calcul de l’étude « Le futur de la finance à l’ère des agents », version 1.0, août 2026.  Étude complète et sources : www.acadewie.com/agents/etude/  ·  Contenu diffusé sous licence Creative Commons BY-ND 4.0 : partage libre avec attribution, sans modification. Le classeur se recalcule librement avec vos propres hypothèses ; c’est le document qui ne se rediffuse pas modifié.</t>
  </si>
</sst>
</file>

<file path=xl/styles.xml><?xml version="1.0" encoding="utf-8"?>
<styleSheet xmlns="http://schemas.openxmlformats.org/spreadsheetml/2006/main">
  <numFmts count="14">
    <numFmt numFmtId="164" formatCode="General"/>
    <numFmt numFmtId="165" formatCode="[$-40C]#,##0;[RED]\-#,##0"/>
    <numFmt numFmtId="166" formatCode="[$-40C]0.0\ %;[RED]\-0.0\ %"/>
    <numFmt numFmtId="167" formatCode="@"/>
    <numFmt numFmtId="168" formatCode="[$-40C]0.00\x;[RED]\-0.00\x"/>
    <numFmt numFmtId="169" formatCode="[$-40C]#,##0&quot; €&quot;;[RED]\-#,##0&quot; €&quot;"/>
    <numFmt numFmtId="170" formatCode="[$-40C]0.00&quot; ETP&quot;"/>
    <numFmt numFmtId="171" formatCode="[$-40C]0.00&quot; h&quot;"/>
    <numFmt numFmtId="172" formatCode="[$-40C]0.000&quot; h&quot;"/>
    <numFmt numFmtId="173" formatCode="[$-40C]#,##0.00&quot; €&quot;;[RED]\-#,##0.00&quot; €&quot;"/>
    <numFmt numFmtId="174" formatCode="[$-40C]0\ %;[RED]\-0\ %"/>
    <numFmt numFmtId="175" formatCode="[$-40C]#,##0.00;[RED]\-#,##0.00"/>
    <numFmt numFmtId="176" formatCode="[$-40C]#,##0.000;[RED]\-#,##0.000"/>
    <numFmt numFmtId="177" formatCode="[$-40C]&quot;Année &quot;0"/>
  </numFmts>
  <fonts count="37">
    <font>
      <sz val="11"/>
      <color theme="1"/>
      <name val="Calibri"/>
      <family val="2"/>
      <charset val="1"/>
    </font>
    <font>
      <sz val="10"/>
      <name val="Arial"/>
      <family val="0"/>
    </font>
    <font>
      <sz val="10"/>
      <name val="Arial"/>
      <family val="0"/>
    </font>
    <font>
      <sz val="10"/>
      <name val="Arial"/>
      <family val="0"/>
    </font>
    <font>
      <b val="true"/>
      <sz val="15"/>
      <color rgb="FFFFFFFF"/>
      <name val="Arial"/>
      <family val="0"/>
      <charset val="1"/>
    </font>
    <font>
      <b val="true"/>
      <sz val="10.5"/>
      <color rgb="FF001740"/>
      <name val="Arial"/>
      <family val="0"/>
      <charset val="1"/>
    </font>
    <font>
      <i val="true"/>
      <sz val="8.5"/>
      <color rgb="FF495057"/>
      <name val="Arial"/>
      <family val="0"/>
      <charset val="1"/>
    </font>
    <font>
      <b val="true"/>
      <sz val="10.5"/>
      <color rgb="FFFFFFFF"/>
      <name val="Arial"/>
      <family val="0"/>
      <charset val="1"/>
    </font>
    <font>
      <sz val="9.5"/>
      <color rgb="FF1A1A1A"/>
      <name val="Arial"/>
      <family val="0"/>
      <charset val="1"/>
    </font>
    <font>
      <b val="true"/>
      <sz val="10"/>
      <color rgb="FFFFFFFF"/>
      <name val="Arial"/>
      <family val="0"/>
      <charset val="1"/>
    </font>
    <font>
      <b val="true"/>
      <sz val="9"/>
      <color rgb="FFFFFFFF"/>
      <name val="Arial"/>
      <family val="0"/>
      <charset val="1"/>
    </font>
    <font>
      <sz val="9"/>
      <color rgb="FF1A1A1A"/>
      <name val="Arial"/>
      <family val="0"/>
      <charset val="1"/>
    </font>
    <font>
      <b val="true"/>
      <sz val="9.5"/>
      <color rgb="FF00205B"/>
      <name val="Arial"/>
      <family val="0"/>
      <charset val="1"/>
    </font>
    <font>
      <i val="true"/>
      <sz val="8"/>
      <color rgb="FF495057"/>
      <name val="Arial"/>
      <family val="0"/>
      <charset val="1"/>
    </font>
    <font>
      <b val="true"/>
      <sz val="9"/>
      <color rgb="FF00205B"/>
      <name val="Arial"/>
      <family val="0"/>
      <charset val="1"/>
    </font>
    <font>
      <sz val="8.5"/>
      <color rgb="FF1A1A1A"/>
      <name val="Arial"/>
      <family val="0"/>
      <charset val="1"/>
    </font>
    <font>
      <b val="true"/>
      <i val="true"/>
      <sz val="8.5"/>
      <color rgb="FFC4A052"/>
      <name val="Arial"/>
      <family val="0"/>
      <charset val="1"/>
    </font>
    <font>
      <b val="true"/>
      <sz val="9.5"/>
      <color rgb="FF0000FF"/>
      <name val="Arial"/>
      <family val="0"/>
      <charset val="1"/>
    </font>
    <font>
      <sz val="9.5"/>
      <color rgb="FF008000"/>
      <name val="Arial"/>
      <family val="0"/>
      <charset val="1"/>
    </font>
    <font>
      <i val="true"/>
      <sz val="8.5"/>
      <color rgb="FF00205B"/>
      <name val="Arial"/>
      <family val="0"/>
      <charset val="1"/>
    </font>
    <font>
      <b val="true"/>
      <sz val="8.5"/>
      <color rgb="FF00205B"/>
      <name val="Arial"/>
      <family val="0"/>
      <charset val="1"/>
    </font>
    <font>
      <i val="true"/>
      <sz val="9.5"/>
      <color rgb="FF00205B"/>
      <name val="Arial"/>
      <family val="0"/>
      <charset val="1"/>
    </font>
    <font>
      <sz val="8.5"/>
      <color rgb="FF495057"/>
      <name val="Arial"/>
      <family val="0"/>
      <charset val="1"/>
    </font>
    <font>
      <sz val="8"/>
      <color rgb="FF1A1A1A"/>
      <name val="Arial"/>
      <family val="0"/>
      <charset val="1"/>
    </font>
    <font>
      <i val="true"/>
      <sz val="8"/>
      <color rgb="FF00205B"/>
      <name val="Arial"/>
      <family val="0"/>
      <charset val="1"/>
    </font>
    <font>
      <b val="true"/>
      <sz val="8.5"/>
      <color rgb="FFFFFFFF"/>
      <name val="Arial"/>
      <family val="0"/>
      <charset val="1"/>
    </font>
    <font>
      <b val="true"/>
      <sz val="8.5"/>
      <color rgb="FF0000FF"/>
      <name val="Arial"/>
      <family val="0"/>
      <charset val="1"/>
    </font>
    <font>
      <i val="true"/>
      <sz val="9"/>
      <color rgb="FF00205B"/>
      <name val="Arial"/>
      <family val="0"/>
      <charset val="1"/>
    </font>
    <font>
      <b val="true"/>
      <sz val="9.5"/>
      <color rgb="FF1A1A1A"/>
      <name val="Arial"/>
      <family val="0"/>
      <charset val="1"/>
    </font>
    <font>
      <sz val="8"/>
      <color rgb="FF495057"/>
      <name val="Arial"/>
      <family val="0"/>
      <charset val="1"/>
    </font>
    <font>
      <sz val="9"/>
      <color rgb="FF008000"/>
      <name val="Arial"/>
      <family val="0"/>
      <charset val="1"/>
    </font>
    <font>
      <sz val="9"/>
      <color rgb="FF00205B"/>
      <name val="Arial"/>
      <family val="0"/>
      <charset val="1"/>
    </font>
    <font>
      <b val="true"/>
      <sz val="8"/>
      <color rgb="FF00205B"/>
      <name val="Arial"/>
      <family val="0"/>
      <charset val="1"/>
    </font>
    <font>
      <b val="true"/>
      <sz val="9"/>
      <color rgb="FF1A1A1A"/>
      <name val="Arial"/>
      <family val="0"/>
      <charset val="1"/>
    </font>
    <font>
      <sz val="7.5"/>
      <color rgb="FF495057"/>
      <name val="Arial"/>
      <family val="0"/>
      <charset val="1"/>
    </font>
    <font>
      <u val="single"/>
      <sz val="7.5"/>
      <color rgb="FF0563C1"/>
      <name val="Arial"/>
      <family val="0"/>
      <charset val="1"/>
    </font>
    <font>
      <sz val="7.5"/>
      <color rgb="FF0563C1"/>
      <name val="Arial"/>
      <family val="0"/>
      <charset val="1"/>
    </font>
  </fonts>
  <fills count="10">
    <fill>
      <patternFill patternType="none"/>
    </fill>
    <fill>
      <patternFill patternType="gray125"/>
    </fill>
    <fill>
      <patternFill patternType="solid">
        <fgColor rgb="FF00205B"/>
        <bgColor rgb="FF001740"/>
      </patternFill>
    </fill>
    <fill>
      <patternFill patternType="solid">
        <fgColor rgb="FFD4B76A"/>
        <bgColor rgb="FFC4A052"/>
      </patternFill>
    </fill>
    <fill>
      <patternFill patternType="solid">
        <fgColor rgb="FFF8F9FA"/>
        <bgColor rgb="FFFFFFFF"/>
      </patternFill>
    </fill>
    <fill>
      <patternFill patternType="solid">
        <fgColor rgb="FF1A3A6E"/>
        <bgColor rgb="FF00205B"/>
      </patternFill>
    </fill>
    <fill>
      <patternFill patternType="solid">
        <fgColor rgb="FFFBF3DF"/>
        <bgColor rgb="FFFFF7E0"/>
      </patternFill>
    </fill>
    <fill>
      <patternFill patternType="solid">
        <fgColor rgb="FFFFF7E0"/>
        <bgColor rgb="FFFBF3DF"/>
      </patternFill>
    </fill>
    <fill>
      <patternFill patternType="solid">
        <fgColor rgb="FFE9ECEF"/>
        <bgColor rgb="FFEFF3F8"/>
      </patternFill>
    </fill>
    <fill>
      <patternFill patternType="solid">
        <fgColor rgb="FFEFF3F8"/>
        <bgColor rgb="FFF8F9FA"/>
      </patternFill>
    </fill>
  </fills>
  <borders count="5">
    <border diagonalUp="false" diagonalDown="false">
      <left/>
      <right/>
      <top/>
      <bottom/>
      <diagonal/>
    </border>
    <border diagonalUp="false" diagonalDown="false">
      <left style="thin">
        <color rgb="FFCED4DA"/>
      </left>
      <right style="thin">
        <color rgb="FFCED4DA"/>
      </right>
      <top style="thin">
        <color rgb="FFCED4DA"/>
      </top>
      <bottom style="thin">
        <color rgb="FFCED4DA"/>
      </bottom>
      <diagonal/>
    </border>
    <border diagonalUp="false" diagonalDown="false">
      <left style="thin">
        <color rgb="FFCED4DA"/>
      </left>
      <right/>
      <top style="thin">
        <color rgb="FFCED4DA"/>
      </top>
      <bottom style="thin">
        <color rgb="FFCED4DA"/>
      </bottom>
      <diagonal/>
    </border>
    <border diagonalUp="false" diagonalDown="false">
      <left style="thin">
        <color rgb="FFC4A052"/>
      </left>
      <right style="thin">
        <color rgb="FFC4A052"/>
      </right>
      <top style="thin">
        <color rgb="FFC4A052"/>
      </top>
      <bottom style="thin">
        <color rgb="FFC4A052"/>
      </bottom>
      <diagonal/>
    </border>
    <border diagonalUp="false" diagonalDown="false">
      <left style="thin">
        <color rgb="FFCED4DA"/>
      </left>
      <right/>
      <top style="thin">
        <color rgb="FFCED4DA"/>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63">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general" vertical="center" textRotation="0" wrapText="false" indent="1" shrinkToFit="false"/>
      <protection locked="true" hidden="false"/>
    </xf>
    <xf numFmtId="164" fontId="5" fillId="3" borderId="0" xfId="0" applyFont="true" applyBorder="true" applyAlignment="true" applyProtection="false">
      <alignment horizontal="general" vertical="center" textRotation="0" wrapText="false" indent="1" shrinkToFit="false"/>
      <protection locked="true" hidden="false"/>
    </xf>
    <xf numFmtId="164" fontId="6" fillId="4" borderId="0" xfId="0" applyFont="true" applyBorder="true" applyAlignment="true" applyProtection="false">
      <alignment horizontal="general" vertical="center" textRotation="0" wrapText="false" indent="1" shrinkToFit="false"/>
      <protection locked="true" hidden="false"/>
    </xf>
    <xf numFmtId="164" fontId="7" fillId="5" borderId="0" xfId="0" applyFont="true" applyBorder="true" applyAlignment="true" applyProtection="false">
      <alignment horizontal="general" vertical="center" textRotation="0" wrapText="false" indent="1" shrinkToFit="false"/>
      <protection locked="true" hidden="false"/>
    </xf>
    <xf numFmtId="164" fontId="8" fillId="0" borderId="0" xfId="0" applyFont="true" applyBorder="true" applyAlignment="true" applyProtection="false">
      <alignment horizontal="general" vertical="top" textRotation="0" wrapText="true" indent="1" shrinkToFit="false"/>
      <protection locked="true" hidden="false"/>
    </xf>
    <xf numFmtId="164" fontId="9" fillId="5" borderId="0" xfId="0" applyFont="true" applyBorder="true" applyAlignment="true" applyProtection="false">
      <alignment horizontal="general" vertical="center" textRotation="0" wrapText="false" indent="1" shrinkToFit="false"/>
      <protection locked="true" hidden="false"/>
    </xf>
    <xf numFmtId="164" fontId="8" fillId="6" borderId="0" xfId="0" applyFont="true" applyBorder="true" applyAlignment="true" applyProtection="false">
      <alignment horizontal="general" vertical="top" textRotation="0" wrapText="true" indent="1" shrinkToFit="false"/>
      <protection locked="true" hidden="false"/>
    </xf>
    <xf numFmtId="164" fontId="10" fillId="2" borderId="1" xfId="0" applyFont="true" applyBorder="true" applyAlignment="true" applyProtection="false">
      <alignment horizontal="center" vertical="center" textRotation="0" wrapText="true" indent="0" shrinkToFit="false"/>
      <protection locked="true" hidden="false"/>
    </xf>
    <xf numFmtId="164" fontId="8" fillId="0" borderId="0" xfId="0" applyFont="true" applyBorder="false" applyAlignment="true" applyProtection="false">
      <alignment horizontal="general" vertical="center" textRotation="0" wrapText="false" indent="0" shrinkToFit="false"/>
      <protection locked="true" hidden="false"/>
    </xf>
    <xf numFmtId="164" fontId="11" fillId="0" borderId="1" xfId="0" applyFont="true" applyBorder="true" applyAlignment="true" applyProtection="false">
      <alignment horizontal="general" vertical="center" textRotation="0" wrapText="true" indent="1" shrinkToFit="false"/>
      <protection locked="true" hidden="false"/>
    </xf>
    <xf numFmtId="165" fontId="12" fillId="6" borderId="2" xfId="0" applyFont="true" applyBorder="true" applyAlignment="true" applyProtection="false">
      <alignment horizontal="center" vertical="center" textRotation="0" wrapText="false" indent="0" shrinkToFit="false"/>
      <protection locked="true" hidden="false"/>
    </xf>
    <xf numFmtId="164" fontId="13" fillId="0" borderId="1" xfId="0" applyFont="true" applyBorder="true" applyAlignment="true" applyProtection="false">
      <alignment horizontal="general" vertical="center" textRotation="0" wrapText="true" indent="0" shrinkToFit="false"/>
      <protection locked="true" hidden="false"/>
    </xf>
    <xf numFmtId="166" fontId="12" fillId="6" borderId="2" xfId="0" applyFont="true" applyBorder="true" applyAlignment="true" applyProtection="false">
      <alignment horizontal="center" vertical="center" textRotation="0" wrapText="false" indent="0" shrinkToFit="false"/>
      <protection locked="true" hidden="false"/>
    </xf>
    <xf numFmtId="167" fontId="12" fillId="6" borderId="2" xfId="0" applyFont="true" applyBorder="true" applyAlignment="true" applyProtection="false">
      <alignment horizontal="center" vertical="center" textRotation="0" wrapText="false" indent="0" shrinkToFit="false"/>
      <protection locked="true" hidden="false"/>
    </xf>
    <xf numFmtId="168" fontId="12" fillId="6" borderId="2" xfId="0" applyFont="true" applyBorder="true" applyAlignment="true" applyProtection="false">
      <alignment horizontal="center" vertical="center" textRotation="0" wrapText="false" indent="0" shrinkToFit="false"/>
      <protection locked="true" hidden="false"/>
    </xf>
    <xf numFmtId="169" fontId="12" fillId="6" borderId="2" xfId="0" applyFont="true" applyBorder="true" applyAlignment="true" applyProtection="false">
      <alignment horizontal="center" vertical="center" textRotation="0" wrapText="false" indent="0" shrinkToFit="false"/>
      <protection locked="true" hidden="false"/>
    </xf>
    <xf numFmtId="170" fontId="12" fillId="6" borderId="2" xfId="0" applyFont="true" applyBorder="true" applyAlignment="true" applyProtection="false">
      <alignment horizontal="center" vertical="center" textRotation="0" wrapText="false" indent="0" shrinkToFit="false"/>
      <protection locked="true" hidden="false"/>
    </xf>
    <xf numFmtId="164" fontId="14" fillId="0" borderId="1" xfId="0" applyFont="true" applyBorder="true" applyAlignment="true" applyProtection="false">
      <alignment horizontal="general" vertical="center" textRotation="0" wrapText="false" indent="1" shrinkToFit="false"/>
      <protection locked="true" hidden="false"/>
    </xf>
    <xf numFmtId="164" fontId="15" fillId="0" borderId="2" xfId="0" applyFont="true" applyBorder="true" applyAlignment="true" applyProtection="false">
      <alignment horizontal="general" vertical="center" textRotation="0" wrapText="true" indent="1" shrinkToFit="false"/>
      <protection locked="true" hidden="false"/>
    </xf>
    <xf numFmtId="164" fontId="6" fillId="0" borderId="1" xfId="0" applyFont="true" applyBorder="true" applyAlignment="true" applyProtection="false">
      <alignment horizontal="center" vertical="center" textRotation="0" wrapText="false" indent="0" shrinkToFit="false"/>
      <protection locked="true" hidden="false"/>
    </xf>
    <xf numFmtId="164" fontId="16" fillId="0" borderId="1" xfId="0" applyFont="true" applyBorder="true" applyAlignment="true" applyProtection="false">
      <alignment horizontal="center" vertical="center" textRotation="0" wrapText="false" indent="0" shrinkToFit="false"/>
      <protection locked="true" hidden="false"/>
    </xf>
    <xf numFmtId="164" fontId="17" fillId="7" borderId="3" xfId="0" applyFont="true" applyBorder="true" applyAlignment="true" applyProtection="false">
      <alignment horizontal="left" vertical="center" textRotation="0" wrapText="false" indent="1" shrinkToFit="false"/>
      <protection locked="true" hidden="false"/>
    </xf>
    <xf numFmtId="164" fontId="18" fillId="0" borderId="1" xfId="0" applyFont="true" applyBorder="true" applyAlignment="true" applyProtection="false">
      <alignment horizontal="left" vertical="center" textRotation="0" wrapText="false" indent="1" shrinkToFit="false"/>
      <protection locked="true" hidden="false"/>
    </xf>
    <xf numFmtId="164" fontId="8" fillId="0" borderId="1" xfId="0" applyFont="true" applyBorder="true" applyAlignment="true" applyProtection="false">
      <alignment horizontal="left" vertical="center" textRotation="0" wrapText="false" indent="1" shrinkToFit="false"/>
      <protection locked="true" hidden="false"/>
    </xf>
    <xf numFmtId="164" fontId="19" fillId="6" borderId="0" xfId="0" applyFont="true" applyBorder="true" applyAlignment="true" applyProtection="false">
      <alignment horizontal="general" vertical="center" textRotation="0" wrapText="true" indent="1" shrinkToFit="false"/>
      <protection locked="true" hidden="false"/>
    </xf>
    <xf numFmtId="164" fontId="12" fillId="8" borderId="0" xfId="0" applyFont="true" applyBorder="true" applyAlignment="true" applyProtection="false">
      <alignment horizontal="general" vertical="center" textRotation="0" wrapText="false" indent="1" shrinkToFit="false"/>
      <protection locked="true" hidden="false"/>
    </xf>
    <xf numFmtId="164" fontId="20" fillId="0" borderId="1" xfId="0" applyFont="true" applyBorder="true" applyAlignment="true" applyProtection="false">
      <alignment horizontal="center" vertical="center" textRotation="0" wrapText="false" indent="0" shrinkToFit="false"/>
      <protection locked="true" hidden="false"/>
    </xf>
    <xf numFmtId="164" fontId="8" fillId="0" borderId="1" xfId="0" applyFont="true" applyBorder="true" applyAlignment="true" applyProtection="false">
      <alignment horizontal="general" vertical="center" textRotation="0" wrapText="true" indent="0" shrinkToFit="false"/>
      <protection locked="true" hidden="false"/>
    </xf>
    <xf numFmtId="164" fontId="21" fillId="0" borderId="1" xfId="0" applyFont="true" applyBorder="true" applyAlignment="true" applyProtection="false">
      <alignment horizontal="center" vertical="center" textRotation="0" wrapText="false" indent="0" shrinkToFit="false"/>
      <protection locked="true" hidden="false"/>
    </xf>
    <xf numFmtId="164" fontId="22" fillId="0" borderId="1" xfId="0" applyFont="true" applyBorder="true" applyAlignment="true" applyProtection="false">
      <alignment horizontal="center" vertical="center" textRotation="0" wrapText="false" indent="0" shrinkToFit="false"/>
      <protection locked="true" hidden="false"/>
    </xf>
    <xf numFmtId="165" fontId="17" fillId="7" borderId="3" xfId="0" applyFont="true" applyBorder="true" applyAlignment="true" applyProtection="false">
      <alignment horizontal="center" vertical="center" textRotation="0" wrapText="false" indent="0" shrinkToFit="false"/>
      <protection locked="true" hidden="false"/>
    </xf>
    <xf numFmtId="165" fontId="22" fillId="0" borderId="1" xfId="0" applyFont="true" applyBorder="true" applyAlignment="true" applyProtection="false">
      <alignment horizontal="center" vertical="center" textRotation="0" wrapText="false" indent="0" shrinkToFit="false"/>
      <protection locked="true" hidden="false"/>
    </xf>
    <xf numFmtId="164" fontId="23" fillId="0" borderId="1" xfId="0" applyFont="true" applyBorder="true" applyAlignment="true" applyProtection="false">
      <alignment horizontal="general" vertical="center" textRotation="0" wrapText="true" indent="0" shrinkToFit="false"/>
      <protection locked="true" hidden="false"/>
    </xf>
    <xf numFmtId="164" fontId="24" fillId="0" borderId="1" xfId="0" applyFont="true" applyBorder="true" applyAlignment="true" applyProtection="false">
      <alignment horizontal="general" vertical="center" textRotation="0" wrapText="true" indent="0" shrinkToFit="false"/>
      <protection locked="true" hidden="false"/>
    </xf>
    <xf numFmtId="171" fontId="17" fillId="7" borderId="3" xfId="0" applyFont="true" applyBorder="true" applyAlignment="true" applyProtection="false">
      <alignment horizontal="center" vertical="center" textRotation="0" wrapText="false" indent="0" shrinkToFit="false"/>
      <protection locked="true" hidden="false"/>
    </xf>
    <xf numFmtId="171" fontId="22" fillId="0" borderId="1" xfId="0" applyFont="true" applyBorder="true" applyAlignment="true" applyProtection="false">
      <alignment horizontal="center" vertical="center" textRotation="0" wrapText="false" indent="0" shrinkToFit="false"/>
      <protection locked="true" hidden="false"/>
    </xf>
    <xf numFmtId="172" fontId="17" fillId="7" borderId="3" xfId="0" applyFont="true" applyBorder="true" applyAlignment="true" applyProtection="false">
      <alignment horizontal="center" vertical="center" textRotation="0" wrapText="false" indent="0" shrinkToFit="false"/>
      <protection locked="true" hidden="false"/>
    </xf>
    <xf numFmtId="172" fontId="22" fillId="0" borderId="1" xfId="0" applyFont="true" applyBorder="true" applyAlignment="true" applyProtection="false">
      <alignment horizontal="center" vertical="center" textRotation="0" wrapText="false" indent="0" shrinkToFit="false"/>
      <protection locked="true" hidden="false"/>
    </xf>
    <xf numFmtId="173" fontId="17" fillId="7" borderId="3" xfId="0" applyFont="true" applyBorder="true" applyAlignment="true" applyProtection="false">
      <alignment horizontal="center" vertical="center" textRotation="0" wrapText="false" indent="0" shrinkToFit="false"/>
      <protection locked="true" hidden="false"/>
    </xf>
    <xf numFmtId="173" fontId="22" fillId="0" borderId="1" xfId="0" applyFont="true" applyBorder="true" applyAlignment="true" applyProtection="false">
      <alignment horizontal="center" vertical="center" textRotation="0" wrapText="false" indent="0" shrinkToFit="false"/>
      <protection locked="true" hidden="false"/>
    </xf>
    <xf numFmtId="166" fontId="17" fillId="7" borderId="3" xfId="0" applyFont="true" applyBorder="true" applyAlignment="true" applyProtection="false">
      <alignment horizontal="center" vertical="center" textRotation="0" wrapText="false" indent="0" shrinkToFit="false"/>
      <protection locked="true" hidden="false"/>
    </xf>
    <xf numFmtId="166" fontId="22" fillId="0" borderId="1" xfId="0" applyFont="true" applyBorder="true" applyAlignment="true" applyProtection="false">
      <alignment horizontal="center" vertical="center" textRotation="0" wrapText="false" indent="0" shrinkToFit="false"/>
      <protection locked="true" hidden="false"/>
    </xf>
    <xf numFmtId="174" fontId="17" fillId="7" borderId="3" xfId="0" applyFont="true" applyBorder="true" applyAlignment="true" applyProtection="false">
      <alignment horizontal="center" vertical="center" textRotation="0" wrapText="false" indent="0" shrinkToFit="false"/>
      <protection locked="true" hidden="false"/>
    </xf>
    <xf numFmtId="174" fontId="22" fillId="0" borderId="1" xfId="0" applyFont="true" applyBorder="true" applyAlignment="true" applyProtection="false">
      <alignment horizontal="center" vertical="center" textRotation="0" wrapText="false" indent="0" shrinkToFit="false"/>
      <protection locked="true" hidden="false"/>
    </xf>
    <xf numFmtId="169" fontId="17" fillId="7" borderId="3" xfId="0" applyFont="true" applyBorder="true" applyAlignment="true" applyProtection="false">
      <alignment horizontal="center" vertical="center" textRotation="0" wrapText="false" indent="0" shrinkToFit="false"/>
      <protection locked="true" hidden="false"/>
    </xf>
    <xf numFmtId="169" fontId="22" fillId="0" borderId="1" xfId="0" applyFont="true" applyBorder="true" applyAlignment="true" applyProtection="false">
      <alignment horizontal="center" vertical="center" textRotation="0" wrapText="false" indent="0" shrinkToFit="false"/>
      <protection locked="true" hidden="false"/>
    </xf>
    <xf numFmtId="175" fontId="17" fillId="7" borderId="3" xfId="0" applyFont="true" applyBorder="true" applyAlignment="true" applyProtection="false">
      <alignment horizontal="center" vertical="center" textRotation="0" wrapText="false" indent="0" shrinkToFit="false"/>
      <protection locked="true" hidden="false"/>
    </xf>
    <xf numFmtId="175" fontId="22" fillId="0" borderId="1" xfId="0" applyFont="true" applyBorder="true" applyAlignment="true" applyProtection="false">
      <alignment horizontal="center" vertical="center" textRotation="0" wrapText="false" indent="0" shrinkToFit="false"/>
      <protection locked="true" hidden="false"/>
    </xf>
    <xf numFmtId="168" fontId="17" fillId="7" borderId="3" xfId="0" applyFont="true" applyBorder="true" applyAlignment="true" applyProtection="false">
      <alignment horizontal="center" vertical="center" textRotation="0" wrapText="false" indent="0" shrinkToFit="false"/>
      <protection locked="true" hidden="false"/>
    </xf>
    <xf numFmtId="168" fontId="22" fillId="0" borderId="1" xfId="0" applyFont="true" applyBorder="true" applyAlignment="true" applyProtection="false">
      <alignment horizontal="center" vertical="center" textRotation="0" wrapText="false" indent="0" shrinkToFit="false"/>
      <protection locked="true" hidden="false"/>
    </xf>
    <xf numFmtId="164" fontId="11" fillId="0" borderId="2" xfId="0" applyFont="true" applyBorder="true" applyAlignment="true" applyProtection="false">
      <alignment horizontal="general" vertical="center" textRotation="0" wrapText="true" indent="1" shrinkToFit="false"/>
      <protection locked="true" hidden="false"/>
    </xf>
    <xf numFmtId="164" fontId="8" fillId="0" borderId="1" xfId="0" applyFont="true" applyBorder="true" applyAlignment="true" applyProtection="false">
      <alignment horizontal="general" vertical="center" textRotation="0" wrapText="false" indent="0" shrinkToFit="false"/>
      <protection locked="true" hidden="false"/>
    </xf>
    <xf numFmtId="165" fontId="12" fillId="0" borderId="1" xfId="0" applyFont="true" applyBorder="true" applyAlignment="true" applyProtection="false">
      <alignment horizontal="center" vertical="center" textRotation="0" wrapText="false" indent="0" shrinkToFit="false"/>
      <protection locked="true" hidden="false"/>
    </xf>
    <xf numFmtId="164" fontId="13" fillId="0" borderId="2" xfId="0" applyFont="true" applyBorder="true" applyAlignment="true" applyProtection="false">
      <alignment horizontal="general" vertical="center" textRotation="0" wrapText="true" indent="0" shrinkToFit="false"/>
      <protection locked="true" hidden="false"/>
    </xf>
    <xf numFmtId="166" fontId="12" fillId="0" borderId="1" xfId="0" applyFont="true" applyBorder="true" applyAlignment="true" applyProtection="false">
      <alignment horizontal="center" vertical="center" textRotation="0" wrapText="false" indent="0" shrinkToFit="false"/>
      <protection locked="true" hidden="false"/>
    </xf>
    <xf numFmtId="167" fontId="12" fillId="0" borderId="1" xfId="0" applyFont="true" applyBorder="true" applyAlignment="true" applyProtection="false">
      <alignment horizontal="center" vertical="center" textRotation="0" wrapText="false" indent="0" shrinkToFit="false"/>
      <protection locked="true" hidden="false"/>
    </xf>
    <xf numFmtId="169" fontId="12" fillId="0" borderId="1" xfId="0" applyFont="true" applyBorder="true" applyAlignment="true" applyProtection="false">
      <alignment horizontal="center" vertical="center" textRotation="0" wrapText="false" indent="0" shrinkToFit="false"/>
      <protection locked="true" hidden="false"/>
    </xf>
    <xf numFmtId="171" fontId="18" fillId="0" borderId="1" xfId="0" applyFont="true" applyBorder="true" applyAlignment="true" applyProtection="false">
      <alignment horizontal="center" vertical="center" textRotation="0" wrapText="false" indent="0" shrinkToFit="false"/>
      <protection locked="true" hidden="false"/>
    </xf>
    <xf numFmtId="172" fontId="18" fillId="0" borderId="1" xfId="0" applyFont="true" applyBorder="true" applyAlignment="true" applyProtection="false">
      <alignment horizontal="center" vertical="center" textRotation="0" wrapText="false" indent="0" shrinkToFit="false"/>
      <protection locked="true" hidden="false"/>
    </xf>
    <xf numFmtId="166" fontId="18" fillId="0" borderId="1" xfId="0" applyFont="true" applyBorder="true" applyAlignment="true" applyProtection="false">
      <alignment horizontal="center" vertical="center" textRotation="0" wrapText="false" indent="0" shrinkToFit="false"/>
      <protection locked="true" hidden="false"/>
    </xf>
    <xf numFmtId="173" fontId="18" fillId="0" borderId="1" xfId="0" applyFont="true" applyBorder="true" applyAlignment="true" applyProtection="false">
      <alignment horizontal="center" vertical="center" textRotation="0" wrapText="false" indent="0" shrinkToFit="false"/>
      <protection locked="true" hidden="false"/>
    </xf>
    <xf numFmtId="174" fontId="18" fillId="0" borderId="1" xfId="0" applyFont="true" applyBorder="true" applyAlignment="true" applyProtection="false">
      <alignment horizontal="center" vertical="center" textRotation="0" wrapText="false" indent="0" shrinkToFit="false"/>
      <protection locked="true" hidden="false"/>
    </xf>
    <xf numFmtId="175" fontId="18" fillId="0" borderId="1" xfId="0" applyFont="true" applyBorder="true" applyAlignment="true" applyProtection="false">
      <alignment horizontal="center" vertical="center" textRotation="0" wrapText="false" indent="0" shrinkToFit="false"/>
      <protection locked="true" hidden="false"/>
    </xf>
    <xf numFmtId="169" fontId="18" fillId="0" borderId="1" xfId="0" applyFont="true" applyBorder="true" applyAlignment="true" applyProtection="false">
      <alignment horizontal="center" vertical="center" textRotation="0" wrapText="false" indent="0" shrinkToFit="false"/>
      <protection locked="true" hidden="false"/>
    </xf>
    <xf numFmtId="164" fontId="25" fillId="2" borderId="1" xfId="0" applyFont="true" applyBorder="true" applyAlignment="true" applyProtection="false">
      <alignment horizontal="center" vertical="center" textRotation="0" wrapText="false" indent="0" shrinkToFit="false"/>
      <protection locked="true" hidden="false"/>
    </xf>
    <xf numFmtId="164" fontId="25" fillId="2" borderId="1" xfId="0" applyFont="true" applyBorder="true" applyAlignment="true" applyProtection="false">
      <alignment horizontal="center" vertical="center" textRotation="0" wrapText="true" indent="0" shrinkToFit="false"/>
      <protection locked="true" hidden="false"/>
    </xf>
    <xf numFmtId="165" fontId="20" fillId="0" borderId="1" xfId="0" applyFont="true" applyBorder="true" applyAlignment="true" applyProtection="false">
      <alignment horizontal="center" vertical="center" textRotation="0" wrapText="false" indent="0" shrinkToFit="false"/>
      <protection locked="true" hidden="false"/>
    </xf>
    <xf numFmtId="167" fontId="15" fillId="0" borderId="1" xfId="0" applyFont="true" applyBorder="true" applyAlignment="true" applyProtection="false">
      <alignment horizontal="general" vertical="center" textRotation="0" wrapText="true" indent="0" shrinkToFit="false"/>
      <protection locked="true" hidden="false"/>
    </xf>
    <xf numFmtId="167" fontId="20" fillId="0" borderId="1" xfId="0" applyFont="true" applyBorder="true" applyAlignment="true" applyProtection="false">
      <alignment horizontal="center" vertical="center" textRotation="0" wrapText="false" indent="0" shrinkToFit="false"/>
      <protection locked="true" hidden="false"/>
    </xf>
    <xf numFmtId="165" fontId="26" fillId="7" borderId="3" xfId="0" applyFont="true" applyBorder="true" applyAlignment="true" applyProtection="false">
      <alignment horizontal="center" vertical="center" textRotation="0" wrapText="false" indent="0" shrinkToFit="false"/>
      <protection locked="true" hidden="false"/>
    </xf>
    <xf numFmtId="171" fontId="26" fillId="7" borderId="3" xfId="0" applyFont="true" applyBorder="true" applyAlignment="true" applyProtection="false">
      <alignment horizontal="center" vertical="center" textRotation="0" wrapText="false" indent="0" shrinkToFit="false"/>
      <protection locked="true" hidden="false"/>
    </xf>
    <xf numFmtId="167" fontId="19" fillId="0" borderId="1" xfId="0" applyFont="true" applyBorder="true" applyAlignment="true" applyProtection="false">
      <alignment horizontal="general" vertical="center" textRotation="0" wrapText="true" indent="0" shrinkToFit="false"/>
      <protection locked="true" hidden="false"/>
    </xf>
    <xf numFmtId="166" fontId="26" fillId="7" borderId="3" xfId="0" applyFont="true" applyBorder="true" applyAlignment="true" applyProtection="false">
      <alignment horizontal="center" vertical="center" textRotation="0" wrapText="false" indent="0" shrinkToFit="false"/>
      <protection locked="true" hidden="false"/>
    </xf>
    <xf numFmtId="173" fontId="26" fillId="7" borderId="3" xfId="0" applyFont="true" applyBorder="true" applyAlignment="true" applyProtection="false">
      <alignment horizontal="center" vertical="center" textRotation="0" wrapText="false" indent="0" shrinkToFit="false"/>
      <protection locked="true" hidden="false"/>
    </xf>
    <xf numFmtId="169" fontId="26" fillId="7" borderId="3" xfId="0" applyFont="true" applyBorder="true" applyAlignment="true" applyProtection="false">
      <alignment horizontal="center" vertical="center" textRotation="0" wrapText="false" indent="0" shrinkToFit="false"/>
      <protection locked="true" hidden="false"/>
    </xf>
    <xf numFmtId="175" fontId="26" fillId="7" borderId="3" xfId="0" applyFont="true" applyBorder="true" applyAlignment="true" applyProtection="false">
      <alignment horizontal="center" vertical="center" textRotation="0" wrapText="false" indent="0" shrinkToFit="false"/>
      <protection locked="true" hidden="false"/>
    </xf>
    <xf numFmtId="174" fontId="26" fillId="7" borderId="3" xfId="0" applyFont="true" applyBorder="true" applyAlignment="true" applyProtection="false">
      <alignment horizontal="center" vertical="center" textRotation="0" wrapText="false" indent="0" shrinkToFit="false"/>
      <protection locked="true" hidden="false"/>
    </xf>
    <xf numFmtId="164" fontId="8" fillId="0" borderId="1" xfId="0" applyFont="true" applyBorder="true" applyAlignment="true" applyProtection="false">
      <alignment horizontal="center" vertical="center" textRotation="0" wrapText="false" indent="0" shrinkToFit="false"/>
      <protection locked="true" hidden="false"/>
    </xf>
    <xf numFmtId="164" fontId="8" fillId="0" borderId="1" xfId="0" applyFont="true" applyBorder="true" applyAlignment="true" applyProtection="false">
      <alignment horizontal="general" vertical="center" textRotation="0" wrapText="true" indent="1" shrinkToFit="false"/>
      <protection locked="true" hidden="false"/>
    </xf>
    <xf numFmtId="164" fontId="27" fillId="0" borderId="1" xfId="0" applyFont="true" applyBorder="true" applyAlignment="true" applyProtection="false">
      <alignment horizontal="center" vertical="center" textRotation="0" wrapText="false" indent="0" shrinkToFit="false"/>
      <protection locked="true" hidden="false"/>
    </xf>
    <xf numFmtId="165" fontId="8" fillId="0" borderId="1" xfId="0" applyFont="true" applyBorder="true" applyAlignment="true" applyProtection="false">
      <alignment horizontal="center" vertical="center" textRotation="0" wrapText="false" indent="0" shrinkToFit="false"/>
      <protection locked="true" hidden="false"/>
    </xf>
    <xf numFmtId="164" fontId="28" fillId="0" borderId="1" xfId="0" applyFont="true" applyBorder="true" applyAlignment="true" applyProtection="false">
      <alignment horizontal="general" vertical="center" textRotation="0" wrapText="true" indent="1" shrinkToFit="false"/>
      <protection locked="true" hidden="false"/>
    </xf>
    <xf numFmtId="169" fontId="8" fillId="0" borderId="1" xfId="0" applyFont="true" applyBorder="true" applyAlignment="true" applyProtection="false">
      <alignment horizontal="center" vertical="center" textRotation="0" wrapText="false" indent="0" shrinkToFit="false"/>
      <protection locked="true" hidden="false"/>
    </xf>
    <xf numFmtId="173" fontId="8" fillId="0" borderId="1" xfId="0" applyFont="true" applyBorder="true" applyAlignment="true" applyProtection="false">
      <alignment horizontal="center" vertical="center" textRotation="0" wrapText="false" indent="0" shrinkToFit="false"/>
      <protection locked="true" hidden="false"/>
    </xf>
    <xf numFmtId="169" fontId="12" fillId="9" borderId="1" xfId="0" applyFont="true" applyBorder="true" applyAlignment="true" applyProtection="false">
      <alignment horizontal="center" vertical="center" textRotation="0" wrapText="false" indent="0" shrinkToFit="false"/>
      <protection locked="true" hidden="false"/>
    </xf>
    <xf numFmtId="169" fontId="12" fillId="6" borderId="1" xfId="0" applyFont="true" applyBorder="true" applyAlignment="true" applyProtection="false">
      <alignment horizontal="center" vertical="center" textRotation="0" wrapText="false" indent="0" shrinkToFit="false"/>
      <protection locked="true" hidden="false"/>
    </xf>
    <xf numFmtId="176" fontId="8" fillId="0" borderId="1" xfId="0" applyFont="true" applyBorder="true" applyAlignment="true" applyProtection="false">
      <alignment horizontal="center" vertical="center" textRotation="0" wrapText="false" indent="0" shrinkToFit="false"/>
      <protection locked="true" hidden="false"/>
    </xf>
    <xf numFmtId="166" fontId="8" fillId="0" borderId="1" xfId="0" applyFont="true" applyBorder="true" applyAlignment="true" applyProtection="false">
      <alignment horizontal="center" vertical="center" textRotation="0" wrapText="false" indent="0" shrinkToFit="false"/>
      <protection locked="true" hidden="false"/>
    </xf>
    <xf numFmtId="172" fontId="8" fillId="0" borderId="1" xfId="0" applyFont="true" applyBorder="true" applyAlignment="true" applyProtection="false">
      <alignment horizontal="center" vertical="center" textRotation="0" wrapText="false" indent="0" shrinkToFit="false"/>
      <protection locked="true" hidden="false"/>
    </xf>
    <xf numFmtId="168" fontId="8" fillId="0" borderId="1" xfId="0" applyFont="true" applyBorder="true" applyAlignment="true" applyProtection="false">
      <alignment horizontal="center" vertical="center" textRotation="0" wrapText="false" indent="0" shrinkToFit="false"/>
      <protection locked="true" hidden="false"/>
    </xf>
    <xf numFmtId="170" fontId="12" fillId="6" borderId="1" xfId="0" applyFont="true" applyBorder="true" applyAlignment="true" applyProtection="false">
      <alignment horizontal="center" vertical="center" textRotation="0" wrapText="false" indent="0" shrinkToFit="false"/>
      <protection locked="true" hidden="false"/>
    </xf>
    <xf numFmtId="164" fontId="29" fillId="0" borderId="1" xfId="0" applyFont="true" applyBorder="true" applyAlignment="true" applyProtection="false">
      <alignment horizontal="center" vertical="center" textRotation="0" wrapText="false" indent="0" shrinkToFit="false"/>
      <protection locked="true" hidden="false"/>
    </xf>
    <xf numFmtId="164" fontId="28" fillId="0" borderId="1" xfId="0" applyFont="true" applyBorder="true" applyAlignment="true" applyProtection="false">
      <alignment horizontal="general" vertical="center" textRotation="0" wrapText="false" indent="1" shrinkToFit="false"/>
      <protection locked="true" hidden="false"/>
    </xf>
    <xf numFmtId="166" fontId="20" fillId="0" borderId="1" xfId="0" applyFont="true" applyBorder="true" applyAlignment="true" applyProtection="false">
      <alignment horizontal="center" vertical="center" textRotation="0" wrapText="false" indent="0" shrinkToFit="false"/>
      <protection locked="true" hidden="false"/>
    </xf>
    <xf numFmtId="168" fontId="12" fillId="6" borderId="1" xfId="0" applyFont="true" applyBorder="true" applyAlignment="true" applyProtection="false">
      <alignment horizontal="center" vertical="center" textRotation="0" wrapText="false" indent="0" shrinkToFit="false"/>
      <protection locked="true" hidden="false"/>
    </xf>
    <xf numFmtId="177" fontId="12" fillId="0" borderId="1" xfId="0" applyFont="true" applyBorder="true" applyAlignment="true" applyProtection="false">
      <alignment horizontal="center" vertical="center" textRotation="0" wrapText="false" indent="0" shrinkToFit="false"/>
      <protection locked="true" hidden="false"/>
    </xf>
    <xf numFmtId="167" fontId="8" fillId="0" borderId="1" xfId="0" applyFont="true" applyBorder="true" applyAlignment="true" applyProtection="false">
      <alignment horizontal="center" vertical="center" textRotation="0" wrapText="false" indent="0" shrinkToFit="false"/>
      <protection locked="true" hidden="false"/>
    </xf>
    <xf numFmtId="175" fontId="12" fillId="0" borderId="1" xfId="0" applyFont="true" applyBorder="true" applyAlignment="true" applyProtection="false">
      <alignment horizontal="center" vertical="center" textRotation="0" wrapText="false" indent="0" shrinkToFit="false"/>
      <protection locked="true" hidden="false"/>
    </xf>
    <xf numFmtId="167" fontId="12" fillId="6" borderId="1" xfId="0" applyFont="true" applyBorder="true" applyAlignment="true" applyProtection="false">
      <alignment horizontal="center" vertical="center" textRotation="0" wrapText="false" indent="0" shrinkToFit="false"/>
      <protection locked="true" hidden="false"/>
    </xf>
    <xf numFmtId="175" fontId="8" fillId="0" borderId="1" xfId="0" applyFont="true" applyBorder="true" applyAlignment="true" applyProtection="false">
      <alignment horizontal="center" vertical="center" textRotation="0" wrapText="false" indent="0" shrinkToFit="false"/>
      <protection locked="true" hidden="false"/>
    </xf>
    <xf numFmtId="169" fontId="28" fillId="0" borderId="1" xfId="0" applyFont="true" applyBorder="true" applyAlignment="true" applyProtection="false">
      <alignment horizontal="center" vertical="center" textRotation="0" wrapText="false" indent="0" shrinkToFit="false"/>
      <protection locked="true" hidden="false"/>
    </xf>
    <xf numFmtId="167" fontId="24" fillId="0" borderId="1" xfId="0" applyFont="true" applyBorder="true" applyAlignment="true" applyProtection="false">
      <alignment horizontal="general" vertical="center" textRotation="0" wrapText="true" indent="0" shrinkToFit="false"/>
      <protection locked="true" hidden="false"/>
    </xf>
    <xf numFmtId="174" fontId="12" fillId="6" borderId="1" xfId="0" applyFont="true" applyBorder="true" applyAlignment="true" applyProtection="false">
      <alignment horizontal="center" vertical="center" textRotation="0" wrapText="false" indent="0" shrinkToFit="false"/>
      <protection locked="true" hidden="false"/>
    </xf>
    <xf numFmtId="166" fontId="12" fillId="6" borderId="1" xfId="0" applyFont="true" applyBorder="true" applyAlignment="true" applyProtection="false">
      <alignment horizontal="center" vertical="center" textRotation="0" wrapText="false" indent="0" shrinkToFit="false"/>
      <protection locked="true" hidden="false"/>
    </xf>
    <xf numFmtId="164" fontId="24" fillId="9" borderId="1" xfId="0" applyFont="true" applyBorder="true" applyAlignment="true" applyProtection="false">
      <alignment horizontal="general" vertical="center" textRotation="0" wrapText="true" indent="0" shrinkToFit="false"/>
      <protection locked="true" hidden="false"/>
    </xf>
    <xf numFmtId="167" fontId="13" fillId="0" borderId="1" xfId="0" applyFont="true" applyBorder="true" applyAlignment="true" applyProtection="false">
      <alignment horizontal="general" vertical="center" textRotation="0" wrapText="true" indent="0" shrinkToFit="false"/>
      <protection locked="true" hidden="false"/>
    </xf>
    <xf numFmtId="165" fontId="30" fillId="0" borderId="2" xfId="0" applyFont="true" applyBorder="true" applyAlignment="true" applyProtection="false">
      <alignment horizontal="center" vertical="center" textRotation="0" wrapText="false" indent="0" shrinkToFit="false"/>
      <protection locked="true" hidden="false"/>
    </xf>
    <xf numFmtId="171" fontId="30" fillId="0" borderId="2" xfId="0" applyFont="true" applyBorder="true" applyAlignment="true" applyProtection="false">
      <alignment horizontal="center" vertical="center" textRotation="0" wrapText="false" indent="0" shrinkToFit="false"/>
      <protection locked="true" hidden="false"/>
    </xf>
    <xf numFmtId="173" fontId="30" fillId="0" borderId="2" xfId="0" applyFont="true" applyBorder="true" applyAlignment="true" applyProtection="false">
      <alignment horizontal="center" vertical="center" textRotation="0" wrapText="false" indent="0" shrinkToFit="false"/>
      <protection locked="true" hidden="false"/>
    </xf>
    <xf numFmtId="174" fontId="30" fillId="0" borderId="2" xfId="0" applyFont="true" applyBorder="true" applyAlignment="true" applyProtection="false">
      <alignment horizontal="center" vertical="center" textRotation="0" wrapText="false" indent="0" shrinkToFit="false"/>
      <protection locked="true" hidden="false"/>
    </xf>
    <xf numFmtId="169" fontId="30" fillId="0" borderId="2" xfId="0" applyFont="true" applyBorder="true" applyAlignment="true" applyProtection="false">
      <alignment horizontal="center" vertical="center" textRotation="0" wrapText="false" indent="0" shrinkToFit="false"/>
      <protection locked="true" hidden="false"/>
    </xf>
    <xf numFmtId="166" fontId="30" fillId="0" borderId="2" xfId="0" applyFont="true" applyBorder="true" applyAlignment="true" applyProtection="false">
      <alignment horizontal="center" vertical="center" textRotation="0" wrapText="false" indent="0" shrinkToFit="false"/>
      <protection locked="true" hidden="false"/>
    </xf>
    <xf numFmtId="165" fontId="31" fillId="0" borderId="1" xfId="0" applyFont="true" applyBorder="true" applyAlignment="true" applyProtection="false">
      <alignment horizontal="center" vertical="center" textRotation="0" wrapText="false" indent="0" shrinkToFit="false"/>
      <protection locked="true" hidden="false"/>
    </xf>
    <xf numFmtId="176" fontId="29" fillId="0" borderId="1" xfId="0" applyFont="true" applyBorder="true" applyAlignment="true" applyProtection="false">
      <alignment horizontal="center" vertical="center" textRotation="0" wrapText="false" indent="0" shrinkToFit="false"/>
      <protection locked="true" hidden="false"/>
    </xf>
    <xf numFmtId="170" fontId="8" fillId="0" borderId="1" xfId="0" applyFont="true" applyBorder="true" applyAlignment="true" applyProtection="false">
      <alignment horizontal="center" vertical="center" textRotation="0" wrapText="false" indent="0" shrinkToFit="false"/>
      <protection locked="true" hidden="false"/>
    </xf>
    <xf numFmtId="164" fontId="22" fillId="0" borderId="1" xfId="0" applyFont="true" applyBorder="true" applyAlignment="true" applyProtection="false">
      <alignment horizontal="general" vertical="center" textRotation="0" wrapText="true" indent="1" shrinkToFit="false"/>
      <protection locked="true" hidden="false"/>
    </xf>
    <xf numFmtId="176" fontId="22" fillId="0" borderId="1" xfId="0" applyFont="true" applyBorder="true" applyAlignment="true" applyProtection="false">
      <alignment horizontal="center" vertical="center" textRotation="0" wrapText="false" indent="0" shrinkToFit="false"/>
      <protection locked="true" hidden="false"/>
    </xf>
    <xf numFmtId="168" fontId="28" fillId="0" borderId="1" xfId="0" applyFont="true" applyBorder="true" applyAlignment="true" applyProtection="false">
      <alignment horizontal="center" vertical="center" textRotation="0" wrapText="false" indent="0" shrinkToFit="false"/>
      <protection locked="true" hidden="false"/>
    </xf>
    <xf numFmtId="167" fontId="12" fillId="0" borderId="2" xfId="0" applyFont="true" applyBorder="true" applyAlignment="true" applyProtection="false">
      <alignment horizontal="general" vertical="center" textRotation="0" wrapText="false" indent="1" shrinkToFit="false"/>
      <protection locked="true" hidden="false"/>
    </xf>
    <xf numFmtId="164" fontId="8" fillId="0" borderId="1" xfId="0" applyFont="true" applyBorder="true" applyAlignment="true" applyProtection="false">
      <alignment horizontal="general" vertical="center" textRotation="0" wrapText="false" indent="1" shrinkToFit="false"/>
      <protection locked="true" hidden="false"/>
    </xf>
    <xf numFmtId="168" fontId="12" fillId="0" borderId="1" xfId="0" applyFont="true" applyBorder="true" applyAlignment="true" applyProtection="false">
      <alignment horizontal="center" vertical="center" textRotation="0" wrapText="false" indent="0" shrinkToFit="false"/>
      <protection locked="true" hidden="false"/>
    </xf>
    <xf numFmtId="164" fontId="13" fillId="0" borderId="2" xfId="0" applyFont="true" applyBorder="true" applyAlignment="true" applyProtection="false">
      <alignment horizontal="general" vertical="center" textRotation="0" wrapText="true" indent="1" shrinkToFit="false"/>
      <protection locked="true" hidden="false"/>
    </xf>
    <xf numFmtId="164" fontId="6" fillId="4" borderId="0" xfId="0" applyFont="true" applyBorder="true" applyAlignment="true" applyProtection="false">
      <alignment horizontal="general" vertical="center" textRotation="0" wrapText="true" indent="1" shrinkToFit="false"/>
      <protection locked="true" hidden="false"/>
    </xf>
    <xf numFmtId="166" fontId="10" fillId="2" borderId="1" xfId="0" applyFont="true" applyBorder="true" applyAlignment="true" applyProtection="false">
      <alignment horizontal="center" vertical="center" textRotation="0" wrapText="false" indent="0" shrinkToFit="false"/>
      <protection locked="true" hidden="false"/>
    </xf>
    <xf numFmtId="166" fontId="10" fillId="5" borderId="1" xfId="0" applyFont="true" applyBorder="true" applyAlignment="true" applyProtection="false">
      <alignment horizontal="center" vertical="center" textRotation="0" wrapText="false" indent="0" shrinkToFit="false"/>
      <protection locked="true" hidden="false"/>
    </xf>
    <xf numFmtId="168" fontId="11" fillId="0" borderId="1" xfId="0" applyFont="true" applyBorder="true" applyAlignment="true" applyProtection="false">
      <alignment horizontal="center" vertical="center" textRotation="0" wrapText="false" indent="0" shrinkToFit="false"/>
      <protection locked="true" hidden="false"/>
    </xf>
    <xf numFmtId="164" fontId="23" fillId="0" borderId="1" xfId="0" applyFont="true" applyBorder="true" applyAlignment="true" applyProtection="false">
      <alignment horizontal="general" vertical="center" textRotation="0" wrapText="false" indent="0" shrinkToFit="false"/>
      <protection locked="true" hidden="false"/>
    </xf>
    <xf numFmtId="164" fontId="29" fillId="0" borderId="1" xfId="0" applyFont="true" applyBorder="true" applyAlignment="true" applyProtection="false">
      <alignment horizontal="general" vertical="center" textRotation="0" wrapText="false" indent="1" shrinkToFit="false"/>
      <protection locked="true" hidden="false"/>
    </xf>
    <xf numFmtId="165" fontId="29" fillId="0" borderId="1" xfId="0" applyFont="true" applyBorder="true" applyAlignment="true" applyProtection="false">
      <alignment horizontal="center" vertical="center" textRotation="0" wrapText="false" indent="0" shrinkToFit="false"/>
      <protection locked="true" hidden="false"/>
    </xf>
    <xf numFmtId="167" fontId="32" fillId="0" borderId="1" xfId="0" applyFont="true" applyBorder="true" applyAlignment="true" applyProtection="false">
      <alignment horizontal="center" vertical="center" textRotation="0" wrapText="false" indent="0" shrinkToFit="false"/>
      <protection locked="true" hidden="false"/>
    </xf>
    <xf numFmtId="167" fontId="23" fillId="0" borderId="1" xfId="0" applyFont="true" applyBorder="true" applyAlignment="true" applyProtection="false">
      <alignment horizontal="general" vertical="center" textRotation="0" wrapText="false" indent="0" shrinkToFit="false"/>
      <protection locked="true" hidden="false"/>
    </xf>
    <xf numFmtId="169" fontId="23" fillId="0" borderId="1" xfId="0" applyFont="true" applyBorder="true" applyAlignment="true" applyProtection="false">
      <alignment horizontal="center" vertical="center" textRotation="0" wrapText="false" indent="0" shrinkToFit="false"/>
      <protection locked="true" hidden="false"/>
    </xf>
    <xf numFmtId="165" fontId="23" fillId="0" borderId="1" xfId="0" applyFont="true" applyBorder="true" applyAlignment="true" applyProtection="false">
      <alignment horizontal="center" vertical="center" textRotation="0" wrapText="false" indent="0" shrinkToFit="false"/>
      <protection locked="true" hidden="false"/>
    </xf>
    <xf numFmtId="167" fontId="14" fillId="0" borderId="1" xfId="0" applyFont="true" applyBorder="true" applyAlignment="true" applyProtection="false">
      <alignment horizontal="center" vertical="center" textRotation="0" wrapText="false" indent="0" shrinkToFit="false"/>
      <protection locked="true" hidden="false"/>
    </xf>
    <xf numFmtId="167" fontId="11" fillId="0" borderId="1" xfId="0" applyFont="true" applyBorder="true" applyAlignment="true" applyProtection="false">
      <alignment horizontal="general" vertical="center" textRotation="0" wrapText="true" indent="0" shrinkToFit="false"/>
      <protection locked="true" hidden="false"/>
    </xf>
    <xf numFmtId="167" fontId="22" fillId="0" borderId="1" xfId="0" applyFont="true" applyBorder="true" applyAlignment="true" applyProtection="false">
      <alignment horizontal="general" vertical="center" textRotation="0" wrapText="false" indent="0" shrinkToFit="false"/>
      <protection locked="true" hidden="false"/>
    </xf>
    <xf numFmtId="165" fontId="11" fillId="0" borderId="1" xfId="0" applyFont="true" applyBorder="true" applyAlignment="true" applyProtection="false">
      <alignment horizontal="center" vertical="center" textRotation="0" wrapText="false" indent="0" shrinkToFit="false"/>
      <protection locked="true" hidden="false"/>
    </xf>
    <xf numFmtId="174" fontId="11" fillId="0" borderId="1" xfId="0" applyFont="true" applyBorder="true" applyAlignment="true" applyProtection="false">
      <alignment horizontal="center" vertical="center" textRotation="0" wrapText="false" indent="0" shrinkToFit="false"/>
      <protection locked="true" hidden="false"/>
    </xf>
    <xf numFmtId="169" fontId="11" fillId="0" borderId="1" xfId="0" applyFont="true" applyBorder="true" applyAlignment="true" applyProtection="false">
      <alignment horizontal="center" vertical="center" textRotation="0" wrapText="false" indent="0" shrinkToFit="false"/>
      <protection locked="true" hidden="false"/>
    </xf>
    <xf numFmtId="169" fontId="33" fillId="6" borderId="1" xfId="0" applyFont="true" applyBorder="true" applyAlignment="true" applyProtection="false">
      <alignment horizontal="center" vertical="center" textRotation="0" wrapText="false" indent="0" shrinkToFit="false"/>
      <protection locked="true" hidden="false"/>
    </xf>
    <xf numFmtId="168" fontId="33" fillId="6" borderId="1" xfId="0" applyFont="true" applyBorder="true" applyAlignment="true" applyProtection="false">
      <alignment horizontal="center" vertical="center" textRotation="0" wrapText="false" indent="0" shrinkToFit="false"/>
      <protection locked="true" hidden="false"/>
    </xf>
    <xf numFmtId="177" fontId="11" fillId="0" borderId="1" xfId="0" applyFont="true" applyBorder="true" applyAlignment="true" applyProtection="false">
      <alignment horizontal="center" vertical="center" textRotation="0" wrapText="false" indent="0" shrinkToFit="false"/>
      <protection locked="true" hidden="false"/>
    </xf>
    <xf numFmtId="170" fontId="11" fillId="0" borderId="1" xfId="0" applyFont="true" applyBorder="true" applyAlignment="true" applyProtection="false">
      <alignment horizontal="center" vertical="center" textRotation="0" wrapText="false" indent="0" shrinkToFit="false"/>
      <protection locked="true" hidden="false"/>
    </xf>
    <xf numFmtId="165" fontId="14" fillId="0" borderId="1" xfId="0" applyFont="true" applyBorder="true" applyAlignment="true" applyProtection="false">
      <alignment horizontal="center" vertical="center" textRotation="0" wrapText="false" indent="0" shrinkToFit="false"/>
      <protection locked="true" hidden="false"/>
    </xf>
    <xf numFmtId="164" fontId="8" fillId="0" borderId="2" xfId="0" applyFont="true" applyBorder="true" applyAlignment="true" applyProtection="false">
      <alignment horizontal="general" vertical="center" textRotation="0" wrapText="true" indent="1" shrinkToFit="false"/>
      <protection locked="true" hidden="false"/>
    </xf>
    <xf numFmtId="164" fontId="28" fillId="0" borderId="2" xfId="0" applyFont="true" applyBorder="true" applyAlignment="true" applyProtection="false">
      <alignment horizontal="general" vertical="center" textRotation="0" wrapText="true" indent="1" shrinkToFit="false"/>
      <protection locked="true" hidden="false"/>
    </xf>
    <xf numFmtId="170" fontId="12" fillId="0" borderId="1" xfId="0" applyFont="true" applyBorder="true" applyAlignment="true" applyProtection="false">
      <alignment horizontal="center" vertical="center" textRotation="0" wrapText="false" indent="0" shrinkToFit="false"/>
      <protection locked="true" hidden="false"/>
    </xf>
    <xf numFmtId="168" fontId="33" fillId="0" borderId="1" xfId="0" applyFont="true" applyBorder="true" applyAlignment="true" applyProtection="false">
      <alignment horizontal="center" vertical="center" textRotation="0" wrapText="false" indent="0" shrinkToFit="false"/>
      <protection locked="true" hidden="false"/>
    </xf>
    <xf numFmtId="165" fontId="12" fillId="6" borderId="1" xfId="0" applyFont="true" applyBorder="true" applyAlignment="true" applyProtection="false">
      <alignment horizontal="center" vertical="center" textRotation="0" wrapText="false" indent="0" shrinkToFit="false"/>
      <protection locked="true" hidden="false"/>
    </xf>
    <xf numFmtId="167" fontId="14" fillId="0" borderId="2" xfId="0" applyFont="true" applyBorder="true" applyAlignment="true" applyProtection="false">
      <alignment horizontal="general" vertical="center" textRotation="0" wrapText="true" indent="1" shrinkToFit="false"/>
      <protection locked="true" hidden="false"/>
    </xf>
    <xf numFmtId="167" fontId="15" fillId="0" borderId="1" xfId="0" applyFont="true" applyBorder="true" applyAlignment="true" applyProtection="false">
      <alignment horizontal="general" vertical="center" textRotation="0" wrapText="false" indent="0" shrinkToFit="false"/>
      <protection locked="true" hidden="false"/>
    </xf>
    <xf numFmtId="167" fontId="15" fillId="0" borderId="1" xfId="0" applyFont="true" applyBorder="true" applyAlignment="true" applyProtection="false">
      <alignment horizontal="center" vertical="center" textRotation="0" wrapText="false" indent="0" shrinkToFit="false"/>
      <protection locked="true" hidden="false"/>
    </xf>
    <xf numFmtId="165" fontId="15" fillId="0" borderId="1" xfId="0" applyFont="true" applyBorder="true" applyAlignment="true" applyProtection="false">
      <alignment horizontal="center" vertical="center" textRotation="0" wrapText="false" indent="0" shrinkToFit="false"/>
      <protection locked="true" hidden="false"/>
    </xf>
    <xf numFmtId="167" fontId="23" fillId="0" borderId="1" xfId="0" applyFont="true" applyBorder="true" applyAlignment="true" applyProtection="false">
      <alignment horizontal="general" vertical="center" textRotation="0" wrapText="true" indent="0" shrinkToFit="false"/>
      <protection locked="true" hidden="false"/>
    </xf>
    <xf numFmtId="167" fontId="34" fillId="0" borderId="1" xfId="0" applyFont="true" applyBorder="true" applyAlignment="true" applyProtection="false">
      <alignment horizontal="general" vertical="center" textRotation="0" wrapText="true" indent="0" shrinkToFit="false"/>
      <protection locked="true" hidden="false"/>
    </xf>
    <xf numFmtId="167" fontId="10" fillId="2" borderId="2" xfId="0" applyFont="true" applyBorder="true" applyAlignment="true" applyProtection="false">
      <alignment horizontal="general" vertical="center" textRotation="0" wrapText="false" indent="1" shrinkToFit="false"/>
      <protection locked="true" hidden="false"/>
    </xf>
    <xf numFmtId="165" fontId="14" fillId="6" borderId="1" xfId="0" applyFont="true" applyBorder="true" applyAlignment="true" applyProtection="false">
      <alignment horizontal="center" vertical="center" textRotation="0" wrapText="false" indent="0" shrinkToFit="false"/>
      <protection locked="true" hidden="false"/>
    </xf>
    <xf numFmtId="175" fontId="14" fillId="6" borderId="1" xfId="0" applyFont="true" applyBorder="true" applyAlignment="true" applyProtection="false">
      <alignment horizontal="center" vertical="center" textRotation="0" wrapText="false" indent="0" shrinkToFit="false"/>
      <protection locked="true" hidden="false"/>
    </xf>
    <xf numFmtId="164" fontId="24" fillId="6" borderId="4" xfId="0" applyFont="true" applyBorder="true" applyAlignment="true" applyProtection="false">
      <alignment horizontal="general" vertical="top" textRotation="0" wrapText="true" indent="1" shrinkToFit="false"/>
      <protection locked="true" hidden="false"/>
    </xf>
    <xf numFmtId="167" fontId="29" fillId="0" borderId="1" xfId="0" applyFont="true" applyBorder="true" applyAlignment="true" applyProtection="false">
      <alignment horizontal="general" vertical="center" textRotation="0" wrapText="true" indent="0" shrinkToFit="false"/>
      <protection locked="true" hidden="false"/>
    </xf>
    <xf numFmtId="167" fontId="35" fillId="0" borderId="1" xfId="0" applyFont="true" applyBorder="true" applyAlignment="true" applyProtection="false">
      <alignment horizontal="general" vertical="center" textRotation="0" wrapText="true" indent="0" shrinkToFit="false"/>
      <protection locked="true" hidden="false"/>
    </xf>
    <xf numFmtId="167" fontId="36" fillId="0" borderId="1" xfId="0" applyFont="true" applyBorder="true" applyAlignment="true" applyProtection="false">
      <alignment horizontal="general"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6">
    <dxf>
      <fill>
        <patternFill patternType="solid">
          <fgColor rgb="FF00205B"/>
          <bgColor rgb="FF000000"/>
        </patternFill>
      </fill>
    </dxf>
    <dxf>
      <fill>
        <patternFill patternType="solid">
          <bgColor rgb="FF000000"/>
        </patternFill>
      </fill>
    </dxf>
    <dxf>
      <fill>
        <patternFill patternType="solid">
          <fgColor rgb="FF1A1A1A"/>
          <bgColor rgb="FF000000"/>
        </patternFill>
      </fill>
    </dxf>
    <dxf>
      <fill>
        <patternFill patternType="solid">
          <fgColor rgb="FFFFFFFF"/>
          <bgColor rgb="FF000000"/>
        </patternFill>
      </fill>
    </dxf>
    <dxf>
      <fill>
        <patternFill patternType="solid">
          <fgColor rgb="FFFF0000"/>
          <bgColor rgb="FF000000"/>
        </patternFill>
      </fill>
    </dxf>
    <dxf>
      <fill>
        <patternFill patternType="solid">
          <fgColor rgb="FF495057"/>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1740"/>
      <rgbColor rgb="FF808000"/>
      <rgbColor rgb="FF800080"/>
      <rgbColor rgb="FF008080"/>
      <rgbColor rgb="FFD4B76A"/>
      <rgbColor rgb="FF808080"/>
      <rgbColor rgb="FF9999FF"/>
      <rgbColor rgb="FF993366"/>
      <rgbColor rgb="FFFFF7E0"/>
      <rgbColor rgb="FFEFF3F8"/>
      <rgbColor rgb="FF660066"/>
      <rgbColor rgb="FFFF8080"/>
      <rgbColor rgb="FF0563C1"/>
      <rgbColor rgb="FFCED4DA"/>
      <rgbColor rgb="FF000080"/>
      <rgbColor rgb="FFFF00FF"/>
      <rgbColor rgb="FFFFFF00"/>
      <rgbColor rgb="FF00FFFF"/>
      <rgbColor rgb="FF800080"/>
      <rgbColor rgb="FF800000"/>
      <rgbColor rgb="FF008080"/>
      <rgbColor rgb="FF0000FF"/>
      <rgbColor rgb="FF00CCFF"/>
      <rgbColor rgb="FFE9ECEF"/>
      <rgbColor rgb="FFF8F9FA"/>
      <rgbColor rgb="FFFBF3DF"/>
      <rgbColor rgb="FF99CCFF"/>
      <rgbColor rgb="FFFF99CC"/>
      <rgbColor rgb="FFCC99FF"/>
      <rgbColor rgb="FFFFCC99"/>
      <rgbColor rgb="FF3366FF"/>
      <rgbColor rgb="FF33CCCC"/>
      <rgbColor rgb="FF99CC00"/>
      <rgbColor rgb="FFFFCC00"/>
      <rgbColor rgb="FFFF9900"/>
      <rgbColor rgb="FFFF6600"/>
      <rgbColor rgb="FF495057"/>
      <rgbColor rgb="FFC4A052"/>
      <rgbColor rgb="FF00205B"/>
      <rgbColor rgb="FF339966"/>
      <rgbColor rgb="FF003300"/>
      <rgbColor rgb="FF333300"/>
      <rgbColor rgb="FF993300"/>
      <rgbColor rgb="FF993366"/>
      <rgbColor rgb="FF1A3A6E"/>
      <rgbColor rgb="FF1A1A1A"/>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7.xml.rels><?xml version="1.0" encoding="UTF-8"?>
<Relationships xmlns="http://schemas.openxmlformats.org/package/2006/relationships"><Relationship Id="rId1" Type="http://schemas.openxmlformats.org/officeDocument/2006/relationships/drawing" Target="../drawings/drawing1.xml"/>
</Relationships>
</file>

<file path=xl/worksheets/_rels/sheet8.xml.rels><?xml version="1.0" encoding="UTF-8"?>
<Relationships xmlns="http://schemas.openxmlformats.org/package/2006/relationships"><Relationship Id="rId1" Type="http://schemas.openxmlformats.org/officeDocument/2006/relationships/hyperlink" Target="https://academic.oup.com/qje/article/140/2/889/7990658" TargetMode="External"/><Relationship Id="rId2" Type="http://schemas.openxmlformats.org/officeDocument/2006/relationships/hyperlink" Target="https://www.nature.com/articles/s41562-024-02024-1" TargetMode="External"/><Relationship Id="rId3" Type="http://schemas.openxmlformats.org/officeDocument/2006/relationships/hyperlink" Target="https://metr.org/blog/2025-07-10-early-2025-ai-experienced-os-dev-study/" TargetMode="External"/><Relationship Id="rId4" Type="http://schemas.openxmlformats.org/officeDocument/2006/relationships/hyperlink" Target="https://arxiv.org/abs/2603.22651" TargetMode="External"/><Relationship Id="rId5" Type="http://schemas.openxmlformats.org/officeDocument/2006/relationships/hyperlink" Target="https://arxiv.org/abs/2607.19266" TargetMode="External"/><Relationship Id="rId6" Type="http://schemas.openxmlformats.org/officeDocument/2006/relationships/hyperlink" Target="https://www.atlantafed.org/research-and-data/publications/working-papers/2026/03/25/04-artificial-intelligence-productivity-and-the-workforce-evidence-from-corporate-executives" TargetMode="External"/><Relationship Id="rId7" Type="http://schemas.openxmlformats.org/officeDocument/2006/relationships/hyperlink" Target="https://arxiv.org/abs/2606.08867" TargetMode="External"/><Relationship Id="rId8" Type="http://schemas.openxmlformats.org/officeDocument/2006/relationships/hyperlink" Target="https://www.pymnts.com/earnings/2026/td-bank-says-ai-is-cutting-mortgage-approvals-from-15-hours-to-3-minutes/" TargetMode="External"/><Relationship Id="rId9" Type="http://schemas.openxmlformats.org/officeDocument/2006/relationships/hyperlink" Target="https://finance.yahoo.com/sectors/technology/articles/anthropic-quietly-doubles-estimate-much-220101627.html" TargetMode="External"/><Relationship Id="rId10" Type="http://schemas.openxmlformats.org/officeDocument/2006/relationships/hyperlink" Target="https://evidentinsights.com/insights/outcomes-report/" TargetMode="External"/><Relationship Id="rId11" Type="http://schemas.openxmlformats.org/officeDocument/2006/relationships/hyperlink" Target="https://www.ciodive.com/news/AI-project-fail-data-SPGlobal/742590/" TargetMode="External"/><Relationship Id="rId12" Type="http://schemas.openxmlformats.org/officeDocument/2006/relationships/hyperlink" Target="https://www.bain.com/insights/ai-in-financial-services-survey-shows-productivity-gains-across-the-board/" TargetMode="External"/><Relationship Id="rId13" Type="http://schemas.openxmlformats.org/officeDocument/2006/relationships/hyperlink" Target="https://www.bcg.com/publications/2025/ai-at-work-momentum-builds-but-gaps-remain" TargetMode="External"/><Relationship Id="rId14" Type="http://schemas.openxmlformats.org/officeDocument/2006/relationships/hyperlink" Target="https://www.capgemini.com/news/press-releases/" TargetMode="External"/><Relationship Id="rId15" Type="http://schemas.openxmlformats.org/officeDocument/2006/relationships/hyperlink" Target="https://www.prnewswire.com/news-releases/new-study-most-organizations-have-abandoned-human-ai-oversight-302825345.html" TargetMode="External"/><Relationship Id="rId16" Type="http://schemas.openxmlformats.org/officeDocument/2006/relationships/hyperlink" Target="https://circleci.com/landing-pages/assets/2026-state-of-software-delivery-report.pdf" TargetMode="External"/><Relationship Id="rId17" Type="http://schemas.openxmlformats.org/officeDocument/2006/relationships/hyperlink" Target="https://aider.chat/docs/leaderboards/" TargetMode="External"/><Relationship Id="rId18" Type="http://schemas.openxmlformats.org/officeDocument/2006/relationships/hyperlink" Target="https://atlan.com/know/ai-agent/cost-to-run-ai-agents-at-scale/" TargetMode="External"/><Relationship Id="rId19" Type="http://schemas.openxmlformats.org/officeDocument/2006/relationships/hyperlink" Target="https://www.intercom.com/learning-center/ai-customer-service-agent-pricing-comparison" TargetMode="External"/><Relationship Id="rId20" Type="http://schemas.openxmlformats.org/officeDocument/2006/relationships/hyperlink" Target="https://gradient-labs.ai/guides/best-ai-chatbots-for-banks" TargetMode="External"/><Relationship Id="rId21" Type="http://schemas.openxmlformats.org/officeDocument/2006/relationships/hyperlink" Target="https://www.splunk.com/en_us/blog/observability/why-most-projects-still-die-before-production.html" TargetMode="External"/><Relationship Id="rId22" Type="http://schemas.openxmlformats.org/officeDocument/2006/relationships/hyperlink" Target="https://www.bankingdive.com/spons/when-ai-overwhelms-the-human-in-the-loop/826210/" TargetMode="External"/><Relationship Id="rId23" Type="http://schemas.openxmlformats.org/officeDocument/2006/relationships/hyperlink" Target="https://eur-lex.europa.eu/eli/reg/2024/1689/oj" TargetMode="External"/><Relationship Id="rId24" Type="http://schemas.openxmlformats.org/officeDocument/2006/relationships/hyperlink" Target="https://eur-lex.europa.eu/eli/reg/2022/2554/oj" TargetMode="External"/><Relationship Id="rId25" Type="http://schemas.openxmlformats.org/officeDocument/2006/relationships/hyperlink" Target="https://www.sec.gov/newsroom/press-releases/2024-36" TargetMode="External"/><Relationship Id="rId26" Type="http://schemas.openxmlformats.org/officeDocument/2006/relationships/hyperlink" Target="https://www.legifrance.gouv.fr/codes/section_lc/LEGITEXT000006072050/LEGISCTA000006178003/"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01740"/>
    <pageSetUpPr fitToPage="true"/>
  </sheetPr>
  <dimension ref="A1:F58"/>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4"/>
    <col collapsed="false" customWidth="true" hidden="false" outlineLevel="0" max="2" min="2" style="0" width="54"/>
    <col collapsed="false" customWidth="true" hidden="false" outlineLevel="0" max="5" min="3" style="0" width="22"/>
    <col collapsed="false" customWidth="true" hidden="false" outlineLevel="0" max="6" min="6" style="0" width="74"/>
  </cols>
  <sheetData>
    <row r="1" customFormat="false" ht="30" hidden="false" customHeight="true" outlineLevel="0" collapsed="false">
      <c r="A1" s="1" t="s">
        <v>0</v>
      </c>
      <c r="B1" s="1"/>
      <c r="C1" s="1"/>
      <c r="D1" s="1"/>
      <c r="E1" s="1"/>
      <c r="F1" s="1"/>
    </row>
    <row r="2" customFormat="false" ht="19.5" hidden="false" customHeight="true" outlineLevel="0" collapsed="false">
      <c r="A2" s="2" t="s">
        <v>1890</v>
      </c>
      <c r="B2" s="2"/>
      <c r="C2" s="2"/>
      <c r="D2" s="2"/>
      <c r="E2" s="2"/>
      <c r="F2" s="2"/>
    </row>
    <row r="3" customFormat="false" ht="15.75" hidden="false" customHeight="true" outlineLevel="0" collapsed="false">
      <c r="A3" s="3" t="s">
        <v>2</v>
      </c>
      <c r="B3" s="3"/>
      <c r="C3" s="3"/>
      <c r="D3" s="3"/>
      <c r="E3" s="3"/>
      <c r="F3" s="3"/>
    </row>
    <row r="4" customFormat="false" ht="52" hidden="false" customHeight="true" outlineLevel="0" collapsed="false">
      <c r="A4" s="25" t="s">
        <v>1891</v>
      </c>
      <c r="B4" s="25"/>
      <c r="C4" s="25"/>
      <c r="D4" s="25"/>
      <c r="E4" s="25"/>
      <c r="F4" s="25"/>
    </row>
    <row r="5" customFormat="false" ht="18.75" hidden="false" customHeight="true" outlineLevel="0" collapsed="false">
      <c r="A5" s="4" t="s">
        <v>3</v>
      </c>
      <c r="B5" s="4"/>
      <c r="C5" s="4"/>
      <c r="D5" s="4"/>
      <c r="E5" s="4"/>
      <c r="F5" s="4"/>
    </row>
    <row r="6" customFormat="false" ht="42" hidden="false" customHeight="true" outlineLevel="0" collapsed="false">
      <c r="B6" s="5" t="s">
        <v>4</v>
      </c>
      <c r="C6" s="5"/>
      <c r="D6" s="5"/>
      <c r="E6" s="5"/>
      <c r="F6" s="5"/>
    </row>
    <row r="7" customFormat="false" ht="42" hidden="false" customHeight="true" outlineLevel="0" collapsed="false">
      <c r="B7" s="5" t="s">
        <v>5</v>
      </c>
      <c r="C7" s="5"/>
      <c r="D7" s="5"/>
      <c r="E7" s="5"/>
      <c r="F7" s="5"/>
    </row>
    <row r="9" customFormat="false" ht="18.75" hidden="false" customHeight="true" outlineLevel="0" collapsed="false">
      <c r="A9" s="4" t="s">
        <v>6</v>
      </c>
      <c r="B9" s="4"/>
      <c r="C9" s="4"/>
      <c r="D9" s="4"/>
      <c r="E9" s="4"/>
      <c r="F9" s="4"/>
    </row>
    <row r="10" customFormat="false" ht="18" hidden="false" customHeight="true" outlineLevel="0" collapsed="false">
      <c r="B10" s="6" t="s">
        <v>7</v>
      </c>
      <c r="C10" s="6"/>
      <c r="D10" s="6"/>
      <c r="E10" s="6"/>
      <c r="F10" s="6"/>
    </row>
    <row r="11" customFormat="false" ht="42" hidden="false" customHeight="true" outlineLevel="0" collapsed="false">
      <c r="B11" s="5" t="s">
        <v>8</v>
      </c>
      <c r="C11" s="5"/>
      <c r="D11" s="5"/>
      <c r="E11" s="5"/>
      <c r="F11" s="5"/>
    </row>
    <row r="12" customFormat="false" ht="18" hidden="false" customHeight="true" outlineLevel="0" collapsed="false">
      <c r="B12" s="6" t="s">
        <v>9</v>
      </c>
      <c r="C12" s="6"/>
      <c r="D12" s="6"/>
      <c r="E12" s="6"/>
      <c r="F12" s="6"/>
    </row>
    <row r="13" customFormat="false" ht="30" hidden="false" customHeight="true" outlineLevel="0" collapsed="false">
      <c r="B13" s="5" t="s">
        <v>10</v>
      </c>
      <c r="C13" s="5"/>
      <c r="D13" s="5"/>
      <c r="E13" s="5"/>
      <c r="F13" s="5"/>
    </row>
    <row r="14" customFormat="false" ht="18" hidden="false" customHeight="true" outlineLevel="0" collapsed="false">
      <c r="B14" s="6" t="s">
        <v>11</v>
      </c>
      <c r="C14" s="6"/>
      <c r="D14" s="6"/>
      <c r="E14" s="6"/>
      <c r="F14" s="6"/>
    </row>
    <row r="15" customFormat="false" ht="30" hidden="false" customHeight="true" outlineLevel="0" collapsed="false">
      <c r="B15" s="5" t="s">
        <v>12</v>
      </c>
      <c r="C15" s="5"/>
      <c r="D15" s="5"/>
      <c r="E15" s="5"/>
      <c r="F15" s="5"/>
    </row>
    <row r="17" customFormat="false" ht="18.75" hidden="false" customHeight="true" outlineLevel="0" collapsed="false">
      <c r="A17" s="4" t="s">
        <v>13</v>
      </c>
      <c r="B17" s="4"/>
      <c r="C17" s="4"/>
      <c r="D17" s="4"/>
      <c r="E17" s="4"/>
      <c r="F17" s="4"/>
    </row>
    <row r="18" customFormat="false" ht="18" hidden="false" customHeight="true" outlineLevel="0" collapsed="false">
      <c r="B18" s="5" t="s">
        <v>14</v>
      </c>
      <c r="C18" s="5"/>
      <c r="D18" s="5"/>
      <c r="E18" s="5"/>
      <c r="F18" s="5"/>
    </row>
    <row r="19" customFormat="false" ht="30" hidden="false" customHeight="true" outlineLevel="0" collapsed="false">
      <c r="B19" s="5" t="s">
        <v>15</v>
      </c>
      <c r="C19" s="5"/>
      <c r="D19" s="5"/>
      <c r="E19" s="5"/>
      <c r="F19" s="5"/>
    </row>
    <row r="20" customFormat="false" ht="30" hidden="false" customHeight="true" outlineLevel="0" collapsed="false">
      <c r="B20" s="5" t="s">
        <v>16</v>
      </c>
      <c r="C20" s="5"/>
      <c r="D20" s="5"/>
      <c r="E20" s="5"/>
      <c r="F20" s="5"/>
    </row>
    <row r="21" customFormat="false" ht="30" hidden="false" customHeight="true" outlineLevel="0" collapsed="false">
      <c r="B21" s="5" t="s">
        <v>17</v>
      </c>
      <c r="C21" s="5"/>
      <c r="D21" s="5"/>
      <c r="E21" s="5"/>
      <c r="F21" s="5"/>
    </row>
    <row r="22" customFormat="false" ht="30" hidden="false" customHeight="true" outlineLevel="0" collapsed="false">
      <c r="B22" s="5" t="s">
        <v>18</v>
      </c>
      <c r="C22" s="5"/>
      <c r="D22" s="5"/>
      <c r="E22" s="5"/>
      <c r="F22" s="5"/>
    </row>
    <row r="23" customFormat="false" ht="30" hidden="false" customHeight="true" outlineLevel="0" collapsed="false">
      <c r="B23" s="5" t="s">
        <v>19</v>
      </c>
      <c r="C23" s="5"/>
      <c r="D23" s="5"/>
      <c r="E23" s="5"/>
      <c r="F23" s="5"/>
    </row>
    <row r="25" customFormat="false" ht="18.75" hidden="false" customHeight="true" outlineLevel="0" collapsed="false">
      <c r="A25" s="4" t="s">
        <v>20</v>
      </c>
      <c r="B25" s="4"/>
      <c r="C25" s="4"/>
      <c r="D25" s="4"/>
      <c r="E25" s="4"/>
      <c r="F25" s="4"/>
    </row>
    <row r="26" customFormat="false" ht="42" hidden="false" customHeight="true" outlineLevel="0" collapsed="false">
      <c r="B26" s="7" t="s">
        <v>21</v>
      </c>
      <c r="C26" s="7"/>
      <c r="D26" s="7"/>
      <c r="E26" s="7"/>
      <c r="F26" s="7"/>
    </row>
    <row r="27" customFormat="false" ht="42" hidden="false" customHeight="true" outlineLevel="0" collapsed="false">
      <c r="B27" s="7" t="s">
        <v>22</v>
      </c>
      <c r="C27" s="7"/>
      <c r="D27" s="7"/>
      <c r="E27" s="7"/>
      <c r="F27" s="7"/>
    </row>
    <row r="29" customFormat="false" ht="18.75" hidden="false" customHeight="true" outlineLevel="0" collapsed="false">
      <c r="A29" s="4" t="s">
        <v>23</v>
      </c>
      <c r="B29" s="4"/>
      <c r="C29" s="4"/>
      <c r="D29" s="4"/>
      <c r="E29" s="4"/>
      <c r="F29" s="4"/>
    </row>
    <row r="30" customFormat="false" ht="30" hidden="false" customHeight="true" outlineLevel="0" collapsed="false">
      <c r="A30" s="8"/>
      <c r="B30" s="8" t="s">
        <v>24</v>
      </c>
      <c r="C30" s="8" t="s">
        <v>25</v>
      </c>
      <c r="D30" s="8"/>
      <c r="E30" s="8"/>
      <c r="F30" s="8" t="s">
        <v>26</v>
      </c>
    </row>
    <row r="31" customFormat="false" ht="17.25" hidden="false" customHeight="true" outlineLevel="0" collapsed="false">
      <c r="A31" s="9"/>
      <c r="B31" s="10" t="s">
        <v>27</v>
      </c>
      <c r="C31" s="11" t="n">
        <f aca="false">'2. Hypothèses'!$E$52</f>
        <v>38</v>
      </c>
      <c r="D31" s="11"/>
      <c r="E31" s="11"/>
      <c r="F31" s="12" t="s">
        <v>28</v>
      </c>
    </row>
    <row r="32" customFormat="false" ht="28.5" hidden="false" customHeight="true" outlineLevel="0" collapsed="false">
      <c r="A32" s="9"/>
      <c r="B32" s="10" t="s">
        <v>29</v>
      </c>
      <c r="C32" s="11" t="n">
        <f aca="false">'2. Hypothèses'!$E$53</f>
        <v>10</v>
      </c>
      <c r="D32" s="11"/>
      <c r="E32" s="11"/>
      <c r="F32" s="12" t="s">
        <v>30</v>
      </c>
    </row>
    <row r="33" customFormat="false" ht="26.25" hidden="false" customHeight="true" outlineLevel="0" collapsed="false">
      <c r="A33" s="9"/>
      <c r="B33" s="10" t="s">
        <v>31</v>
      </c>
      <c r="C33" s="13" t="n">
        <f aca="false">'2. Hypothèses'!$E$57</f>
        <v>0.263157894736842</v>
      </c>
      <c r="D33" s="13"/>
      <c r="E33" s="13"/>
      <c r="F33" s="12" t="s">
        <v>32</v>
      </c>
    </row>
    <row r="34" customFormat="false" ht="17.25" hidden="false" customHeight="true" outlineLevel="0" collapsed="false">
      <c r="A34" s="9"/>
      <c r="B34" s="10" t="s">
        <v>33</v>
      </c>
      <c r="C34" s="14" t="str">
        <f aca="false">'2. Hypothèses'!$E$59</f>
        <v>Recevable, part des variables sans source externe sous le seuil</v>
      </c>
      <c r="D34" s="14"/>
      <c r="E34" s="14"/>
      <c r="F34" s="12" t="s">
        <v>34</v>
      </c>
    </row>
    <row r="35" customFormat="false" ht="28.5" hidden="false" customHeight="true" outlineLevel="0" collapsed="false">
      <c r="A35" s="9"/>
      <c r="B35" s="10" t="s">
        <v>35</v>
      </c>
      <c r="C35" s="13" t="n">
        <f aca="false">'2. Hypothèses'!$E$60</f>
        <v>0.5</v>
      </c>
      <c r="D35" s="13"/>
      <c r="E35" s="13"/>
      <c r="F35" s="12" t="s">
        <v>36</v>
      </c>
    </row>
    <row r="36" customFormat="false" ht="17.25" hidden="false" customHeight="true" outlineLevel="0" collapsed="false">
      <c r="A36" s="9"/>
      <c r="B36" s="10" t="s">
        <v>37</v>
      </c>
      <c r="C36" s="15" t="n">
        <f aca="false">'3. Calculateur'!$C$84</f>
        <v>1.19174834837753</v>
      </c>
      <c r="D36" s="15"/>
      <c r="E36" s="15"/>
      <c r="F36" s="12" t="s">
        <v>38</v>
      </c>
    </row>
    <row r="37" customFormat="false" ht="28.5" hidden="false" customHeight="true" outlineLevel="0" collapsed="false">
      <c r="A37" s="9"/>
      <c r="B37" s="10" t="s">
        <v>39</v>
      </c>
      <c r="C37" s="16" t="n">
        <f aca="false">'3. Calculateur'!$C$73</f>
        <v>1824441.6</v>
      </c>
      <c r="D37" s="16"/>
      <c r="E37" s="16"/>
      <c r="F37" s="12" t="s">
        <v>40</v>
      </c>
    </row>
    <row r="38" customFormat="false" ht="17.25" hidden="false" customHeight="true" outlineLevel="0" collapsed="false">
      <c r="A38" s="9"/>
      <c r="B38" s="10" t="s">
        <v>41</v>
      </c>
      <c r="C38" s="13" t="n">
        <f aca="false">'3. Calculateur'!$C$77</f>
        <v>0.0361754522589268</v>
      </c>
      <c r="D38" s="13"/>
      <c r="E38" s="13"/>
      <c r="F38" s="12" t="s">
        <v>42</v>
      </c>
    </row>
    <row r="39" customFormat="false" ht="17.25" hidden="false" customHeight="true" outlineLevel="0" collapsed="false">
      <c r="A39" s="9"/>
      <c r="B39" s="10" t="s">
        <v>43</v>
      </c>
      <c r="C39" s="17" t="n">
        <f aca="false">'3. Calculateur'!$C$58</f>
        <v>19.9996017423771</v>
      </c>
      <c r="D39" s="17"/>
      <c r="E39" s="17"/>
      <c r="F39" s="12" t="s">
        <v>44</v>
      </c>
    </row>
    <row r="41" customFormat="false" ht="18.75" hidden="false" customHeight="true" outlineLevel="0" collapsed="false">
      <c r="A41" s="4" t="s">
        <v>45</v>
      </c>
      <c r="B41" s="4"/>
      <c r="C41" s="4"/>
      <c r="D41" s="4"/>
      <c r="E41" s="4"/>
      <c r="F41" s="4"/>
    </row>
    <row r="42" customFormat="false" ht="30" hidden="false" customHeight="true" outlineLevel="0" collapsed="false">
      <c r="A42" s="8"/>
      <c r="B42" s="8" t="s">
        <v>46</v>
      </c>
      <c r="C42" s="8" t="s">
        <v>47</v>
      </c>
      <c r="D42" s="8"/>
      <c r="E42" s="8"/>
      <c r="F42" s="8" t="s">
        <v>48</v>
      </c>
    </row>
    <row r="43" customFormat="false" ht="27.75" hidden="false" customHeight="true" outlineLevel="0" collapsed="false">
      <c r="A43" s="9"/>
      <c r="B43" s="18" t="s">
        <v>49</v>
      </c>
      <c r="C43" s="19" t="s">
        <v>50</v>
      </c>
      <c r="D43" s="19"/>
      <c r="E43" s="19"/>
      <c r="F43" s="20" t="s">
        <v>51</v>
      </c>
    </row>
    <row r="44" customFormat="false" ht="38.25" hidden="false" customHeight="true" outlineLevel="0" collapsed="false">
      <c r="A44" s="9"/>
      <c r="B44" s="18" t="s">
        <v>52</v>
      </c>
      <c r="C44" s="19" t="s">
        <v>53</v>
      </c>
      <c r="D44" s="19"/>
      <c r="E44" s="19"/>
      <c r="F44" s="21" t="s">
        <v>54</v>
      </c>
    </row>
    <row r="45" customFormat="false" ht="38.25" hidden="false" customHeight="true" outlineLevel="0" collapsed="false">
      <c r="A45" s="9"/>
      <c r="B45" s="18" t="s">
        <v>55</v>
      </c>
      <c r="C45" s="19" t="s">
        <v>56</v>
      </c>
      <c r="D45" s="19"/>
      <c r="E45" s="19"/>
      <c r="F45" s="20" t="s">
        <v>51</v>
      </c>
    </row>
    <row r="46" customFormat="false" ht="38.25" hidden="false" customHeight="true" outlineLevel="0" collapsed="false">
      <c r="A46" s="9"/>
      <c r="B46" s="18" t="s">
        <v>57</v>
      </c>
      <c r="C46" s="19" t="s">
        <v>58</v>
      </c>
      <c r="D46" s="19"/>
      <c r="E46" s="19"/>
      <c r="F46" s="20" t="s">
        <v>51</v>
      </c>
    </row>
    <row r="47" customFormat="false" ht="27.75" hidden="false" customHeight="true" outlineLevel="0" collapsed="false">
      <c r="A47" s="9"/>
      <c r="B47" s="18" t="s">
        <v>59</v>
      </c>
      <c r="C47" s="19" t="s">
        <v>60</v>
      </c>
      <c r="D47" s="19"/>
      <c r="E47" s="19"/>
      <c r="F47" s="20" t="s">
        <v>51</v>
      </c>
    </row>
    <row r="48" customFormat="false" ht="27.75" hidden="false" customHeight="true" outlineLevel="0" collapsed="false">
      <c r="A48" s="9"/>
      <c r="B48" s="18" t="s">
        <v>61</v>
      </c>
      <c r="C48" s="19" t="s">
        <v>62</v>
      </c>
      <c r="D48" s="19"/>
      <c r="E48" s="19"/>
      <c r="F48" s="20" t="s">
        <v>51</v>
      </c>
    </row>
    <row r="49" customFormat="false" ht="38.25" hidden="false" customHeight="true" outlineLevel="0" collapsed="false">
      <c r="A49" s="9"/>
      <c r="B49" s="18" t="s">
        <v>63</v>
      </c>
      <c r="C49" s="19" t="s">
        <v>64</v>
      </c>
      <c r="D49" s="19"/>
      <c r="E49" s="19"/>
      <c r="F49" s="20" t="s">
        <v>51</v>
      </c>
    </row>
    <row r="50" customFormat="false" ht="27.75" hidden="false" customHeight="true" outlineLevel="0" collapsed="false">
      <c r="A50" s="9"/>
      <c r="B50" s="18" t="s">
        <v>65</v>
      </c>
      <c r="C50" s="19" t="s">
        <v>66</v>
      </c>
      <c r="D50" s="19"/>
      <c r="E50" s="19"/>
      <c r="F50" s="20" t="s">
        <v>51</v>
      </c>
    </row>
    <row r="52" customFormat="false" ht="18.75" hidden="false" customHeight="true" outlineLevel="0" collapsed="false">
      <c r="A52" s="4" t="s">
        <v>67</v>
      </c>
      <c r="B52" s="4"/>
      <c r="C52" s="4"/>
      <c r="D52" s="4"/>
      <c r="E52" s="4"/>
      <c r="F52" s="4"/>
    </row>
    <row r="53" customFormat="false" ht="15.75" hidden="false" customHeight="true" outlineLevel="0" collapsed="false">
      <c r="A53" s="9"/>
      <c r="B53" s="22" t="s">
        <v>68</v>
      </c>
      <c r="C53" s="19" t="s">
        <v>69</v>
      </c>
      <c r="D53" s="19"/>
      <c r="E53" s="19"/>
      <c r="F53" s="19"/>
    </row>
    <row r="54" customFormat="false" ht="15" hidden="false" customHeight="true" outlineLevel="0" collapsed="false">
      <c r="A54" s="9"/>
      <c r="B54" s="23" t="s">
        <v>70</v>
      </c>
      <c r="C54" s="19" t="s">
        <v>71</v>
      </c>
      <c r="D54" s="19"/>
      <c r="E54" s="19"/>
      <c r="F54" s="19"/>
    </row>
    <row r="55" customFormat="false" ht="15" hidden="false" customHeight="true" outlineLevel="0" collapsed="false">
      <c r="A55" s="9"/>
      <c r="B55" s="24" t="s">
        <v>72</v>
      </c>
      <c r="C55" s="19" t="s">
        <v>73</v>
      </c>
      <c r="D55" s="19"/>
      <c r="E55" s="19"/>
      <c r="F55" s="19"/>
    </row>
    <row r="57" customFormat="false" ht="27.75" hidden="false" customHeight="true" outlineLevel="0" collapsed="false">
      <c r="A57" s="25" t="s">
        <v>74</v>
      </c>
      <c r="B57" s="25"/>
      <c r="C57" s="25"/>
      <c r="D57" s="25"/>
      <c r="E57" s="25"/>
      <c r="F57" s="25"/>
    </row>
    <row r="58" customFormat="false" ht="40" hidden="false" customHeight="true" outlineLevel="0" collapsed="false">
      <c r="A58" s="25" t="s">
        <v>1892</v>
      </c>
      <c r="B58" s="25"/>
      <c r="C58" s="25"/>
      <c r="D58" s="25"/>
      <c r="E58" s="25"/>
      <c r="F58" s="25"/>
    </row>
  </sheetData>
  <mergeCells count="49">
    <mergeCell ref="A4:F4"/>
    <mergeCell ref="A58:F58"/>
    <mergeCell ref="A1:F1"/>
    <mergeCell ref="A2:F2"/>
    <mergeCell ref="A3:F3"/>
    <mergeCell ref="A5:F5"/>
    <mergeCell ref="B6:F6"/>
    <mergeCell ref="B7:F7"/>
    <mergeCell ref="A9:F9"/>
    <mergeCell ref="B10:F10"/>
    <mergeCell ref="B11:F11"/>
    <mergeCell ref="B12:F12"/>
    <mergeCell ref="B13:F13"/>
    <mergeCell ref="B14:F14"/>
    <mergeCell ref="B15:F15"/>
    <mergeCell ref="A17:F17"/>
    <mergeCell ref="B18:F18"/>
    <mergeCell ref="B19:F19"/>
    <mergeCell ref="B20:F20"/>
    <mergeCell ref="B21:F21"/>
    <mergeCell ref="B22:F22"/>
    <mergeCell ref="B23:F23"/>
    <mergeCell ref="A25:F25"/>
    <mergeCell ref="B26:F26"/>
    <mergeCell ref="B27:F27"/>
    <mergeCell ref="A29:F29"/>
    <mergeCell ref="C31:E31"/>
    <mergeCell ref="C32:E32"/>
    <mergeCell ref="C33:E33"/>
    <mergeCell ref="C34:E34"/>
    <mergeCell ref="C35:E35"/>
    <mergeCell ref="C36:E36"/>
    <mergeCell ref="C37:E37"/>
    <mergeCell ref="C38:E38"/>
    <mergeCell ref="C39:E39"/>
    <mergeCell ref="A41:F41"/>
    <mergeCell ref="C43:E43"/>
    <mergeCell ref="C44:E44"/>
    <mergeCell ref="C45:E45"/>
    <mergeCell ref="C46:E46"/>
    <mergeCell ref="C47:E47"/>
    <mergeCell ref="C48:E48"/>
    <mergeCell ref="C49:E49"/>
    <mergeCell ref="C50:E50"/>
    <mergeCell ref="A52:F52"/>
    <mergeCell ref="C53:F53"/>
    <mergeCell ref="C54:F54"/>
    <mergeCell ref="C55:F55"/>
    <mergeCell ref="A57:F57"/>
  </mergeCell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C4A052"/>
    <pageSetUpPr fitToPage="true"/>
  </sheetPr>
  <dimension ref="A1:R10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5" topLeftCell="B6" activePane="bottomRight" state="frozen"/>
      <selection pane="topLeft" activeCell="A1" activeCellId="0" sqref="A1"/>
      <selection pane="topRight" activeCell="B1" activeCellId="0" sqref="B1"/>
      <selection pane="bottomLeft" activeCell="A6" activeCellId="0" sqref="A6"/>
      <selection pane="bottomRight" activeCell="A1" activeCellId="0" sqref="A1"/>
    </sheetView>
  </sheetViews>
  <sheetFormatPr defaultColWidth="8.6796875" defaultRowHeight="15" zeroHeight="false" outlineLevelRow="0" outlineLevelCol="0"/>
  <cols>
    <col collapsed="false" customWidth="true" hidden="false" outlineLevel="0" max="1" min="1" style="0" width="7"/>
    <col collapsed="false" customWidth="true" hidden="false" outlineLevel="0" max="2" min="2" style="0" width="50"/>
    <col collapsed="false" customWidth="true" hidden="false" outlineLevel="0" max="3" min="3" style="0" width="11"/>
    <col collapsed="false" customWidth="true" hidden="false" outlineLevel="0" max="4" min="4" style="0" width="19"/>
    <col collapsed="false" customWidth="true" hidden="false" outlineLevel="0" max="5" min="5" style="0" width="15"/>
    <col collapsed="false" customWidth="true" hidden="false" outlineLevel="0" max="7" min="6" style="0" width="13"/>
    <col collapsed="false" customWidth="true" hidden="false" outlineLevel="0" max="8" min="8" style="0" width="92"/>
    <col collapsed="false" customWidth="true" hidden="false" outlineLevel="0" max="9" min="9" style="0" width="32"/>
    <col collapsed="false" customWidth="true" hidden="false" outlineLevel="0" max="11" min="10" style="0" width="12"/>
    <col collapsed="false" customWidth="true" hidden="false" outlineLevel="0" max="12" min="12" style="0" width="11"/>
    <col collapsed="false" customWidth="true" hidden="false" outlineLevel="0" max="13" min="13" style="0" width="13"/>
    <col collapsed="false" customWidth="true" hidden="false" outlineLevel="0" max="15" min="14" style="0" width="14"/>
    <col collapsed="false" customWidth="true" hidden="false" outlineLevel="0" max="17" min="16" style="0" width="11"/>
    <col collapsed="false" customWidth="true" hidden="false" outlineLevel="0" max="18" min="18" style="0" width="12"/>
  </cols>
  <sheetData>
    <row r="1" customFormat="false" ht="30" hidden="false" customHeight="true" outlineLevel="0" collapsed="false">
      <c r="A1" s="1" t="s">
        <v>0</v>
      </c>
      <c r="B1" s="1"/>
      <c r="C1" s="1"/>
      <c r="D1" s="1"/>
      <c r="E1" s="1"/>
      <c r="F1" s="1"/>
      <c r="G1" s="1"/>
      <c r="H1" s="1"/>
      <c r="I1" s="1"/>
    </row>
    <row r="2" customFormat="false" ht="19.5" hidden="false" customHeight="true" outlineLevel="0" collapsed="false">
      <c r="A2" s="2" t="s">
        <v>75</v>
      </c>
      <c r="B2" s="2"/>
      <c r="C2" s="2"/>
      <c r="D2" s="2"/>
      <c r="E2" s="2"/>
      <c r="F2" s="2"/>
      <c r="G2" s="2"/>
      <c r="H2" s="2"/>
      <c r="I2" s="2"/>
    </row>
    <row r="3" customFormat="false" ht="15.75" hidden="false" customHeight="true" outlineLevel="0" collapsed="false">
      <c r="A3" s="3" t="s">
        <v>76</v>
      </c>
      <c r="B3" s="3"/>
      <c r="C3" s="3"/>
      <c r="D3" s="3"/>
      <c r="E3" s="3"/>
      <c r="F3" s="3"/>
      <c r="G3" s="3"/>
      <c r="H3" s="3"/>
      <c r="I3" s="3"/>
    </row>
    <row r="5" customFormat="false" ht="30" hidden="false" customHeight="true" outlineLevel="0" collapsed="false">
      <c r="A5" s="8" t="s">
        <v>77</v>
      </c>
      <c r="B5" s="8" t="s">
        <v>78</v>
      </c>
      <c r="C5" s="8" t="s">
        <v>79</v>
      </c>
      <c r="D5" s="8" t="s">
        <v>80</v>
      </c>
      <c r="E5" s="8" t="s">
        <v>81</v>
      </c>
      <c r="F5" s="8" t="s">
        <v>82</v>
      </c>
      <c r="G5" s="8" t="s">
        <v>83</v>
      </c>
      <c r="H5" s="8" t="s">
        <v>84</v>
      </c>
      <c r="I5" s="8" t="s">
        <v>85</v>
      </c>
    </row>
    <row r="6" customFormat="false" ht="15.75" hidden="false" customHeight="true" outlineLevel="0" collapsed="false">
      <c r="A6" s="26" t="s">
        <v>86</v>
      </c>
      <c r="B6" s="26"/>
      <c r="C6" s="26"/>
      <c r="D6" s="26"/>
      <c r="E6" s="26"/>
      <c r="F6" s="26"/>
      <c r="G6" s="26"/>
      <c r="H6" s="26"/>
      <c r="I6" s="26"/>
    </row>
    <row r="7" customFormat="false" ht="19.4" hidden="false" customHeight="false" outlineLevel="0" collapsed="false">
      <c r="A7" s="27" t="s">
        <v>87</v>
      </c>
      <c r="B7" s="28" t="s">
        <v>88</v>
      </c>
      <c r="C7" s="29" t="s">
        <v>89</v>
      </c>
      <c r="D7" s="30" t="s">
        <v>90</v>
      </c>
      <c r="E7" s="31" t="n">
        <v>120000</v>
      </c>
      <c r="F7" s="32" t="n">
        <v>10000</v>
      </c>
      <c r="G7" s="32" t="n">
        <v>1000000</v>
      </c>
      <c r="H7" s="33" t="s">
        <v>91</v>
      </c>
      <c r="I7" s="34" t="s">
        <v>92</v>
      </c>
    </row>
    <row r="8" customFormat="false" ht="19.4" hidden="false" customHeight="false" outlineLevel="0" collapsed="false">
      <c r="A8" s="27" t="s">
        <v>93</v>
      </c>
      <c r="B8" s="28" t="s">
        <v>94</v>
      </c>
      <c r="C8" s="29" t="s">
        <v>95</v>
      </c>
      <c r="D8" s="30" t="s">
        <v>96</v>
      </c>
      <c r="E8" s="35" t="n">
        <v>0.75</v>
      </c>
      <c r="F8" s="36" t="n">
        <v>0.25</v>
      </c>
      <c r="G8" s="36" t="n">
        <v>2</v>
      </c>
      <c r="H8" s="33" t="s">
        <v>97</v>
      </c>
      <c r="I8" s="34" t="s">
        <v>92</v>
      </c>
    </row>
    <row r="9" customFormat="false" ht="28.35" hidden="false" customHeight="false" outlineLevel="0" collapsed="false">
      <c r="A9" s="27" t="s">
        <v>98</v>
      </c>
      <c r="B9" s="28" t="s">
        <v>99</v>
      </c>
      <c r="C9" s="29" t="s">
        <v>100</v>
      </c>
      <c r="D9" s="30" t="s">
        <v>96</v>
      </c>
      <c r="E9" s="35" t="n">
        <v>0.1</v>
      </c>
      <c r="F9" s="36" t="n">
        <v>0.03</v>
      </c>
      <c r="G9" s="36" t="n">
        <v>0.25</v>
      </c>
      <c r="H9" s="33" t="s">
        <v>101</v>
      </c>
      <c r="I9" s="34" t="s">
        <v>102</v>
      </c>
    </row>
    <row r="10" customFormat="false" ht="19.4" hidden="false" customHeight="false" outlineLevel="0" collapsed="false">
      <c r="A10" s="27" t="s">
        <v>103</v>
      </c>
      <c r="B10" s="28" t="s">
        <v>104</v>
      </c>
      <c r="C10" s="29" t="s">
        <v>105</v>
      </c>
      <c r="D10" s="30" t="s">
        <v>96</v>
      </c>
      <c r="E10" s="35" t="n">
        <v>0.9</v>
      </c>
      <c r="F10" s="36" t="n">
        <v>0.75</v>
      </c>
      <c r="G10" s="36" t="n">
        <v>1.125</v>
      </c>
      <c r="H10" s="33" t="s">
        <v>106</v>
      </c>
      <c r="I10" s="34" t="s">
        <v>107</v>
      </c>
    </row>
    <row r="11" customFormat="false" ht="15" hidden="false" customHeight="false" outlineLevel="0" collapsed="false">
      <c r="A11" s="27" t="s">
        <v>108</v>
      </c>
      <c r="B11" s="28" t="s">
        <v>109</v>
      </c>
      <c r="C11" s="29" t="s">
        <v>110</v>
      </c>
      <c r="D11" s="30" t="s">
        <v>96</v>
      </c>
      <c r="E11" s="37" t="n">
        <v>0.19</v>
      </c>
      <c r="F11" s="38" t="n">
        <v>0.075</v>
      </c>
      <c r="G11" s="38" t="n">
        <v>0.375</v>
      </c>
      <c r="H11" s="33" t="s">
        <v>111</v>
      </c>
      <c r="I11" s="34" t="s">
        <v>107</v>
      </c>
    </row>
    <row r="12" customFormat="false" ht="19.4" hidden="false" customHeight="false" outlineLevel="0" collapsed="false">
      <c r="A12" s="27" t="s">
        <v>112</v>
      </c>
      <c r="B12" s="28" t="s">
        <v>113</v>
      </c>
      <c r="C12" s="29" t="s">
        <v>114</v>
      </c>
      <c r="D12" s="30" t="s">
        <v>115</v>
      </c>
      <c r="E12" s="39" t="n">
        <v>65</v>
      </c>
      <c r="F12" s="40" t="n">
        <v>45</v>
      </c>
      <c r="G12" s="40" t="n">
        <v>95</v>
      </c>
      <c r="H12" s="33" t="s">
        <v>116</v>
      </c>
      <c r="I12" s="34" t="s">
        <v>92</v>
      </c>
    </row>
    <row r="13" customFormat="false" ht="19.4" hidden="false" customHeight="false" outlineLevel="0" collapsed="false">
      <c r="A13" s="27" t="s">
        <v>117</v>
      </c>
      <c r="B13" s="28" t="s">
        <v>118</v>
      </c>
      <c r="C13" s="29" t="s">
        <v>119</v>
      </c>
      <c r="D13" s="30" t="s">
        <v>120</v>
      </c>
      <c r="E13" s="31" t="n">
        <v>1607</v>
      </c>
      <c r="F13" s="32" t="n">
        <v>1500</v>
      </c>
      <c r="G13" s="32" t="n">
        <v>1750</v>
      </c>
      <c r="H13" s="33" t="s">
        <v>121</v>
      </c>
      <c r="I13" s="34" t="s">
        <v>122</v>
      </c>
    </row>
    <row r="14" customFormat="false" ht="15.75" hidden="false" customHeight="true" outlineLevel="0" collapsed="false">
      <c r="A14" s="26" t="s">
        <v>123</v>
      </c>
      <c r="B14" s="26"/>
      <c r="C14" s="26"/>
      <c r="D14" s="26"/>
      <c r="E14" s="26"/>
      <c r="F14" s="26"/>
      <c r="G14" s="26"/>
      <c r="H14" s="26"/>
      <c r="I14" s="26"/>
    </row>
    <row r="15" customFormat="false" ht="28.35" hidden="false" customHeight="false" outlineLevel="0" collapsed="false">
      <c r="A15" s="27" t="s">
        <v>124</v>
      </c>
      <c r="B15" s="28" t="s">
        <v>125</v>
      </c>
      <c r="C15" s="29" t="s">
        <v>126</v>
      </c>
      <c r="D15" s="30" t="s">
        <v>127</v>
      </c>
      <c r="E15" s="41" t="n">
        <v>0.55</v>
      </c>
      <c r="F15" s="42" t="n">
        <v>0.5</v>
      </c>
      <c r="G15" s="42" t="n">
        <v>0.9</v>
      </c>
      <c r="H15" s="33" t="s">
        <v>128</v>
      </c>
      <c r="I15" s="34" t="s">
        <v>129</v>
      </c>
    </row>
    <row r="16" customFormat="false" ht="23.85" hidden="false" customHeight="false" outlineLevel="0" collapsed="false">
      <c r="A16" s="27" t="s">
        <v>130</v>
      </c>
      <c r="B16" s="28" t="s">
        <v>131</v>
      </c>
      <c r="C16" s="29" t="s">
        <v>132</v>
      </c>
      <c r="D16" s="30" t="s">
        <v>127</v>
      </c>
      <c r="E16" s="41" t="n">
        <v>0.2</v>
      </c>
      <c r="F16" s="42" t="n">
        <v>0.1</v>
      </c>
      <c r="G16" s="42" t="n">
        <v>0.4</v>
      </c>
      <c r="H16" s="33" t="s">
        <v>133</v>
      </c>
      <c r="I16" s="34" t="s">
        <v>134</v>
      </c>
    </row>
    <row r="17" customFormat="false" ht="23.85" hidden="false" customHeight="false" outlineLevel="0" collapsed="false">
      <c r="A17" s="27" t="s">
        <v>135</v>
      </c>
      <c r="B17" s="28" t="s">
        <v>136</v>
      </c>
      <c r="C17" s="29" t="s">
        <v>137</v>
      </c>
      <c r="D17" s="30" t="s">
        <v>127</v>
      </c>
      <c r="E17" s="41" t="n">
        <v>0.02</v>
      </c>
      <c r="F17" s="42" t="n">
        <v>0.01</v>
      </c>
      <c r="G17" s="42" t="n">
        <v>0.05</v>
      </c>
      <c r="H17" s="33" t="s">
        <v>138</v>
      </c>
      <c r="I17" s="34" t="s">
        <v>92</v>
      </c>
    </row>
    <row r="18" customFormat="false" ht="23.85" hidden="false" customHeight="false" outlineLevel="0" collapsed="false">
      <c r="A18" s="27" t="s">
        <v>139</v>
      </c>
      <c r="B18" s="28" t="s">
        <v>140</v>
      </c>
      <c r="C18" s="29" t="s">
        <v>141</v>
      </c>
      <c r="D18" s="30" t="s">
        <v>127</v>
      </c>
      <c r="E18" s="43" t="n">
        <v>1</v>
      </c>
      <c r="F18" s="44" t="n">
        <v>0</v>
      </c>
      <c r="G18" s="44" t="n">
        <v>1</v>
      </c>
      <c r="H18" s="33" t="s">
        <v>142</v>
      </c>
      <c r="I18" s="34" t="s">
        <v>143</v>
      </c>
    </row>
    <row r="19" customFormat="false" ht="19.4" hidden="false" customHeight="false" outlineLevel="0" collapsed="false">
      <c r="A19" s="27" t="s">
        <v>144</v>
      </c>
      <c r="B19" s="28" t="s">
        <v>145</v>
      </c>
      <c r="C19" s="29" t="s">
        <v>146</v>
      </c>
      <c r="D19" s="30" t="s">
        <v>147</v>
      </c>
      <c r="E19" s="41" t="n">
        <v>0.05</v>
      </c>
      <c r="F19" s="42" t="n">
        <v>0</v>
      </c>
      <c r="G19" s="42" t="n">
        <v>0.1</v>
      </c>
      <c r="H19" s="33" t="s">
        <v>148</v>
      </c>
      <c r="I19" s="34" t="s">
        <v>149</v>
      </c>
    </row>
    <row r="20" customFormat="false" ht="15.75" hidden="false" customHeight="true" outlineLevel="0" collapsed="false">
      <c r="A20" s="26" t="s">
        <v>150</v>
      </c>
      <c r="B20" s="26"/>
      <c r="C20" s="26"/>
      <c r="D20" s="26"/>
      <c r="E20" s="26"/>
      <c r="F20" s="26"/>
      <c r="G20" s="26"/>
      <c r="H20" s="26"/>
      <c r="I20" s="26"/>
    </row>
    <row r="21" customFormat="false" ht="28.35" hidden="false" customHeight="false" outlineLevel="0" collapsed="false">
      <c r="A21" s="27" t="s">
        <v>151</v>
      </c>
      <c r="B21" s="28" t="s">
        <v>152</v>
      </c>
      <c r="C21" s="29" t="s">
        <v>153</v>
      </c>
      <c r="D21" s="30" t="s">
        <v>154</v>
      </c>
      <c r="E21" s="39" t="n">
        <v>1</v>
      </c>
      <c r="F21" s="40" t="n">
        <v>0.01</v>
      </c>
      <c r="G21" s="40" t="n">
        <v>2.6</v>
      </c>
      <c r="H21" s="33" t="s">
        <v>155</v>
      </c>
      <c r="I21" s="34" t="s">
        <v>156</v>
      </c>
    </row>
    <row r="22" customFormat="false" ht="19.4" hidden="false" customHeight="false" outlineLevel="0" collapsed="false">
      <c r="A22" s="27" t="s">
        <v>157</v>
      </c>
      <c r="B22" s="28" t="s">
        <v>158</v>
      </c>
      <c r="C22" s="29" t="s">
        <v>159</v>
      </c>
      <c r="D22" s="30" t="s">
        <v>154</v>
      </c>
      <c r="E22" s="39" t="n">
        <v>0</v>
      </c>
      <c r="F22" s="40" t="n">
        <v>0</v>
      </c>
      <c r="G22" s="40" t="n">
        <v>0.2</v>
      </c>
      <c r="H22" s="33" t="s">
        <v>160</v>
      </c>
      <c r="I22" s="34" t="s">
        <v>92</v>
      </c>
    </row>
    <row r="23" customFormat="false" ht="19.4" hidden="false" customHeight="false" outlineLevel="0" collapsed="false">
      <c r="A23" s="27" t="s">
        <v>161</v>
      </c>
      <c r="B23" s="28" t="s">
        <v>162</v>
      </c>
      <c r="C23" s="29" t="s">
        <v>163</v>
      </c>
      <c r="D23" s="30" t="s">
        <v>147</v>
      </c>
      <c r="E23" s="43" t="n">
        <v>0.5</v>
      </c>
      <c r="F23" s="44" t="n">
        <v>0</v>
      </c>
      <c r="G23" s="44" t="n">
        <v>1</v>
      </c>
      <c r="H23" s="33" t="s">
        <v>164</v>
      </c>
      <c r="I23" s="34" t="s">
        <v>165</v>
      </c>
    </row>
    <row r="24" customFormat="false" ht="19.4" hidden="false" customHeight="false" outlineLevel="0" collapsed="false">
      <c r="A24" s="27" t="s">
        <v>166</v>
      </c>
      <c r="B24" s="28" t="s">
        <v>167</v>
      </c>
      <c r="C24" s="29" t="s">
        <v>168</v>
      </c>
      <c r="D24" s="30" t="s">
        <v>169</v>
      </c>
      <c r="E24" s="45" t="n">
        <v>150000</v>
      </c>
      <c r="F24" s="46" t="n">
        <v>50000</v>
      </c>
      <c r="G24" s="46" t="n">
        <v>200000</v>
      </c>
      <c r="H24" s="33" t="s">
        <v>170</v>
      </c>
      <c r="I24" s="34" t="s">
        <v>171</v>
      </c>
    </row>
    <row r="25" customFormat="false" ht="23.85" hidden="false" customHeight="false" outlineLevel="0" collapsed="false">
      <c r="A25" s="27" t="s">
        <v>172</v>
      </c>
      <c r="B25" s="28" t="s">
        <v>173</v>
      </c>
      <c r="C25" s="29" t="s">
        <v>174</v>
      </c>
      <c r="D25" s="30" t="s">
        <v>169</v>
      </c>
      <c r="E25" s="45" t="n">
        <v>60000</v>
      </c>
      <c r="F25" s="46" t="n">
        <v>30000</v>
      </c>
      <c r="G25" s="46" t="n">
        <v>120000</v>
      </c>
      <c r="H25" s="33" t="s">
        <v>175</v>
      </c>
      <c r="I25" s="34" t="s">
        <v>176</v>
      </c>
    </row>
    <row r="26" customFormat="false" ht="19.4" hidden="false" customHeight="false" outlineLevel="0" collapsed="false">
      <c r="A26" s="27" t="s">
        <v>177</v>
      </c>
      <c r="B26" s="28" t="s">
        <v>178</v>
      </c>
      <c r="C26" s="29" t="s">
        <v>179</v>
      </c>
      <c r="D26" s="30" t="s">
        <v>180</v>
      </c>
      <c r="E26" s="31" t="n">
        <v>7</v>
      </c>
      <c r="F26" s="32" t="n">
        <v>5</v>
      </c>
      <c r="G26" s="32" t="n">
        <v>10</v>
      </c>
      <c r="H26" s="33" t="s">
        <v>181</v>
      </c>
      <c r="I26" s="34" t="s">
        <v>176</v>
      </c>
    </row>
    <row r="27" customFormat="false" ht="19.4" hidden="false" customHeight="false" outlineLevel="0" collapsed="false">
      <c r="A27" s="27" t="s">
        <v>182</v>
      </c>
      <c r="B27" s="28" t="s">
        <v>183</v>
      </c>
      <c r="C27" s="29" t="s">
        <v>184</v>
      </c>
      <c r="D27" s="30" t="s">
        <v>185</v>
      </c>
      <c r="E27" s="45" t="n">
        <v>120000</v>
      </c>
      <c r="F27" s="46" t="n">
        <v>90000</v>
      </c>
      <c r="G27" s="46" t="n">
        <v>160000</v>
      </c>
      <c r="H27" s="33" t="s">
        <v>186</v>
      </c>
      <c r="I27" s="34" t="s">
        <v>92</v>
      </c>
    </row>
    <row r="28" customFormat="false" ht="19.4" hidden="false" customHeight="false" outlineLevel="0" collapsed="false">
      <c r="A28" s="27" t="s">
        <v>187</v>
      </c>
      <c r="B28" s="28" t="s">
        <v>188</v>
      </c>
      <c r="C28" s="29" t="s">
        <v>189</v>
      </c>
      <c r="D28" s="30" t="s">
        <v>190</v>
      </c>
      <c r="E28" s="47" t="n">
        <v>1.5</v>
      </c>
      <c r="F28" s="48" t="n">
        <v>1</v>
      </c>
      <c r="G28" s="48" t="n">
        <v>2</v>
      </c>
      <c r="H28" s="33" t="s">
        <v>191</v>
      </c>
      <c r="I28" s="34" t="s">
        <v>134</v>
      </c>
    </row>
    <row r="29" customFormat="false" ht="19.4" hidden="false" customHeight="false" outlineLevel="0" collapsed="false">
      <c r="A29" s="27" t="s">
        <v>192</v>
      </c>
      <c r="B29" s="28" t="s">
        <v>193</v>
      </c>
      <c r="C29" s="29" t="s">
        <v>194</v>
      </c>
      <c r="D29" s="30" t="s">
        <v>190</v>
      </c>
      <c r="E29" s="47" t="n">
        <v>0.75</v>
      </c>
      <c r="F29" s="48" t="n">
        <v>0.5</v>
      </c>
      <c r="G29" s="48" t="n">
        <v>1</v>
      </c>
      <c r="H29" s="33" t="s">
        <v>195</v>
      </c>
      <c r="I29" s="34" t="s">
        <v>134</v>
      </c>
    </row>
    <row r="30" customFormat="false" ht="15.75" hidden="false" customHeight="true" outlineLevel="0" collapsed="false">
      <c r="A30" s="26" t="s">
        <v>196</v>
      </c>
      <c r="B30" s="26"/>
      <c r="C30" s="26"/>
      <c r="D30" s="26"/>
      <c r="E30" s="26"/>
      <c r="F30" s="26"/>
      <c r="G30" s="26"/>
      <c r="H30" s="26"/>
      <c r="I30" s="26"/>
    </row>
    <row r="31" customFormat="false" ht="37.3" hidden="false" customHeight="false" outlineLevel="0" collapsed="false">
      <c r="A31" s="27" t="s">
        <v>197</v>
      </c>
      <c r="B31" s="28" t="s">
        <v>198</v>
      </c>
      <c r="C31" s="29" t="s">
        <v>199</v>
      </c>
      <c r="D31" s="30" t="s">
        <v>127</v>
      </c>
      <c r="E31" s="43" t="n">
        <v>0.45</v>
      </c>
      <c r="F31" s="44" t="n">
        <v>0.4</v>
      </c>
      <c r="G31" s="44" t="n">
        <v>0.6</v>
      </c>
      <c r="H31" s="33" t="s">
        <v>200</v>
      </c>
      <c r="I31" s="34" t="s">
        <v>201</v>
      </c>
    </row>
    <row r="32" customFormat="false" ht="19.4" hidden="false" customHeight="false" outlineLevel="0" collapsed="false">
      <c r="A32" s="27" t="s">
        <v>202</v>
      </c>
      <c r="B32" s="28" t="s">
        <v>203</v>
      </c>
      <c r="C32" s="29" t="s">
        <v>204</v>
      </c>
      <c r="D32" s="30" t="s">
        <v>205</v>
      </c>
      <c r="E32" s="47" t="n">
        <v>1</v>
      </c>
      <c r="F32" s="48" t="n">
        <v>0.5</v>
      </c>
      <c r="G32" s="48" t="n">
        <v>2</v>
      </c>
      <c r="H32" s="33" t="s">
        <v>206</v>
      </c>
      <c r="I32" s="34" t="s">
        <v>134</v>
      </c>
    </row>
    <row r="33" customFormat="false" ht="28.35" hidden="false" customHeight="false" outlineLevel="0" collapsed="false">
      <c r="A33" s="27" t="s">
        <v>207</v>
      </c>
      <c r="B33" s="28" t="s">
        <v>208</v>
      </c>
      <c r="C33" s="29" t="s">
        <v>209</v>
      </c>
      <c r="D33" s="30" t="s">
        <v>169</v>
      </c>
      <c r="E33" s="45" t="n">
        <v>150000</v>
      </c>
      <c r="F33" s="46" t="n">
        <v>50000</v>
      </c>
      <c r="G33" s="46" t="n">
        <v>500000</v>
      </c>
      <c r="H33" s="33" t="s">
        <v>210</v>
      </c>
      <c r="I33" s="34" t="s">
        <v>211</v>
      </c>
    </row>
    <row r="34" customFormat="false" ht="19.4" hidden="false" customHeight="false" outlineLevel="0" collapsed="false">
      <c r="A34" s="27" t="s">
        <v>212</v>
      </c>
      <c r="B34" s="28" t="s">
        <v>213</v>
      </c>
      <c r="C34" s="29" t="s">
        <v>214</v>
      </c>
      <c r="D34" s="30" t="s">
        <v>127</v>
      </c>
      <c r="E34" s="41" t="n">
        <v>0.1</v>
      </c>
      <c r="F34" s="42" t="n">
        <v>0.06</v>
      </c>
      <c r="G34" s="42" t="n">
        <v>0.14</v>
      </c>
      <c r="H34" s="33" t="s">
        <v>215</v>
      </c>
      <c r="I34" s="34" t="s">
        <v>216</v>
      </c>
    </row>
    <row r="35" customFormat="false" ht="19.4" hidden="false" customHeight="false" outlineLevel="0" collapsed="false">
      <c r="A35" s="27" t="s">
        <v>217</v>
      </c>
      <c r="B35" s="28" t="s">
        <v>218</v>
      </c>
      <c r="C35" s="29" t="s">
        <v>219</v>
      </c>
      <c r="D35" s="30" t="s">
        <v>220</v>
      </c>
      <c r="E35" s="31" t="n">
        <v>3</v>
      </c>
      <c r="F35" s="32" t="n">
        <v>3</v>
      </c>
      <c r="G35" s="32" t="n">
        <v>5</v>
      </c>
      <c r="H35" s="33" t="s">
        <v>221</v>
      </c>
      <c r="I35" s="34" t="s">
        <v>222</v>
      </c>
    </row>
    <row r="36" customFormat="false" ht="19.4" hidden="false" customHeight="false" outlineLevel="0" collapsed="false">
      <c r="A36" s="27" t="s">
        <v>223</v>
      </c>
      <c r="B36" s="28" t="s">
        <v>224</v>
      </c>
      <c r="C36" s="29" t="s">
        <v>225</v>
      </c>
      <c r="D36" s="30" t="s">
        <v>127</v>
      </c>
      <c r="E36" s="43" t="n">
        <v>0.25</v>
      </c>
      <c r="F36" s="44" t="n">
        <v>0.2</v>
      </c>
      <c r="G36" s="44" t="n">
        <v>0.3</v>
      </c>
      <c r="H36" s="33" t="s">
        <v>226</v>
      </c>
      <c r="I36" s="34" t="s">
        <v>134</v>
      </c>
    </row>
    <row r="37" customFormat="false" ht="15.75" hidden="false" customHeight="true" outlineLevel="0" collapsed="false">
      <c r="A37" s="26" t="s">
        <v>227</v>
      </c>
      <c r="B37" s="26"/>
      <c r="C37" s="26"/>
      <c r="D37" s="26"/>
      <c r="E37" s="26"/>
      <c r="F37" s="26"/>
      <c r="G37" s="26"/>
      <c r="H37" s="26"/>
      <c r="I37" s="26"/>
    </row>
    <row r="38" customFormat="false" ht="19.4" hidden="false" customHeight="false" outlineLevel="0" collapsed="false">
      <c r="A38" s="27" t="s">
        <v>228</v>
      </c>
      <c r="B38" s="28" t="s">
        <v>229</v>
      </c>
      <c r="C38" s="29" t="s">
        <v>230</v>
      </c>
      <c r="D38" s="30" t="s">
        <v>127</v>
      </c>
      <c r="E38" s="41" t="n">
        <v>0.717</v>
      </c>
      <c r="F38" s="42" t="n">
        <v>0.5</v>
      </c>
      <c r="G38" s="42" t="n">
        <v>0.95</v>
      </c>
      <c r="H38" s="33" t="s">
        <v>231</v>
      </c>
      <c r="I38" s="34" t="s">
        <v>232</v>
      </c>
    </row>
    <row r="39" customFormat="false" ht="19.4" hidden="false" customHeight="false" outlineLevel="0" collapsed="false">
      <c r="A39" s="27" t="s">
        <v>233</v>
      </c>
      <c r="B39" s="28" t="s">
        <v>234</v>
      </c>
      <c r="C39" s="29" t="s">
        <v>235</v>
      </c>
      <c r="D39" s="30" t="s">
        <v>127</v>
      </c>
      <c r="E39" s="41" t="n">
        <v>0.65</v>
      </c>
      <c r="F39" s="42" t="n">
        <v>0.5</v>
      </c>
      <c r="G39" s="42" t="n">
        <v>0.95</v>
      </c>
      <c r="H39" s="33" t="s">
        <v>236</v>
      </c>
      <c r="I39" s="34" t="s">
        <v>232</v>
      </c>
    </row>
    <row r="40" customFormat="false" ht="23.85" hidden="false" customHeight="false" outlineLevel="0" collapsed="false">
      <c r="A40" s="27" t="s">
        <v>237</v>
      </c>
      <c r="B40" s="28" t="s">
        <v>238</v>
      </c>
      <c r="C40" s="29" t="s">
        <v>239</v>
      </c>
      <c r="D40" s="30" t="s">
        <v>240</v>
      </c>
      <c r="E40" s="47" t="n">
        <v>0.46</v>
      </c>
      <c r="F40" s="48" t="n">
        <v>0.28</v>
      </c>
      <c r="G40" s="48" t="n">
        <v>0.66</v>
      </c>
      <c r="H40" s="33" t="s">
        <v>241</v>
      </c>
      <c r="I40" s="34" t="s">
        <v>242</v>
      </c>
    </row>
    <row r="41" customFormat="false" ht="23.85" hidden="false" customHeight="false" outlineLevel="0" collapsed="false">
      <c r="A41" s="27" t="s">
        <v>243</v>
      </c>
      <c r="B41" s="28" t="s">
        <v>244</v>
      </c>
      <c r="C41" s="29" t="s">
        <v>245</v>
      </c>
      <c r="D41" s="30" t="s">
        <v>240</v>
      </c>
      <c r="E41" s="47" t="n">
        <v>-0.54</v>
      </c>
      <c r="F41" s="48" t="n">
        <v>-0.71</v>
      </c>
      <c r="G41" s="48" t="n">
        <v>-0.37</v>
      </c>
      <c r="H41" s="33" t="s">
        <v>246</v>
      </c>
      <c r="I41" s="34" t="s">
        <v>242</v>
      </c>
    </row>
    <row r="42" customFormat="false" ht="23.85" hidden="false" customHeight="false" outlineLevel="0" collapsed="false">
      <c r="A42" s="27" t="s">
        <v>247</v>
      </c>
      <c r="B42" s="28" t="s">
        <v>248</v>
      </c>
      <c r="C42" s="29" t="s">
        <v>249</v>
      </c>
      <c r="D42" s="30" t="s">
        <v>127</v>
      </c>
      <c r="E42" s="41" t="n">
        <v>0.3333</v>
      </c>
      <c r="F42" s="42" t="n">
        <v>0.1</v>
      </c>
      <c r="G42" s="42" t="n">
        <v>0.6</v>
      </c>
      <c r="H42" s="33" t="s">
        <v>250</v>
      </c>
      <c r="I42" s="34" t="s">
        <v>232</v>
      </c>
    </row>
    <row r="43" customFormat="false" ht="19.4" hidden="false" customHeight="false" outlineLevel="0" collapsed="false">
      <c r="A43" s="27" t="s">
        <v>251</v>
      </c>
      <c r="B43" s="28" t="s">
        <v>252</v>
      </c>
      <c r="C43" s="29" t="s">
        <v>253</v>
      </c>
      <c r="D43" s="30" t="s">
        <v>169</v>
      </c>
      <c r="E43" s="45" t="n">
        <v>150000</v>
      </c>
      <c r="F43" s="46" t="n">
        <v>50000</v>
      </c>
      <c r="G43" s="46" t="n">
        <v>500000</v>
      </c>
      <c r="H43" s="33" t="s">
        <v>254</v>
      </c>
      <c r="I43" s="34" t="s">
        <v>134</v>
      </c>
    </row>
    <row r="44" customFormat="false" ht="15.75" hidden="false" customHeight="true" outlineLevel="0" collapsed="false">
      <c r="A44" s="26" t="s">
        <v>255</v>
      </c>
      <c r="B44" s="26"/>
      <c r="C44" s="26"/>
      <c r="D44" s="26"/>
      <c r="E44" s="26"/>
      <c r="F44" s="26"/>
      <c r="G44" s="26"/>
      <c r="H44" s="26"/>
      <c r="I44" s="26"/>
    </row>
    <row r="45" customFormat="false" ht="19.4" hidden="false" customHeight="false" outlineLevel="0" collapsed="false">
      <c r="A45" s="27" t="s">
        <v>256</v>
      </c>
      <c r="B45" s="28" t="s">
        <v>257</v>
      </c>
      <c r="C45" s="29" t="s">
        <v>258</v>
      </c>
      <c r="D45" s="30" t="s">
        <v>259</v>
      </c>
      <c r="E45" s="49" t="n">
        <v>1</v>
      </c>
      <c r="F45" s="50" t="n">
        <v>0.5</v>
      </c>
      <c r="G45" s="50" t="n">
        <v>2</v>
      </c>
      <c r="H45" s="33" t="s">
        <v>260</v>
      </c>
      <c r="I45" s="34" t="s">
        <v>216</v>
      </c>
    </row>
    <row r="46" customFormat="false" ht="23.85" hidden="false" customHeight="false" outlineLevel="0" collapsed="false">
      <c r="A46" s="27" t="s">
        <v>261</v>
      </c>
      <c r="B46" s="28" t="s">
        <v>262</v>
      </c>
      <c r="C46" s="29" t="s">
        <v>263</v>
      </c>
      <c r="D46" s="30" t="s">
        <v>264</v>
      </c>
      <c r="E46" s="31" t="n">
        <v>10</v>
      </c>
      <c r="F46" s="32" t="n">
        <v>3</v>
      </c>
      <c r="G46" s="32" t="n">
        <v>20</v>
      </c>
      <c r="H46" s="33" t="s">
        <v>265</v>
      </c>
      <c r="I46" s="34" t="s">
        <v>92</v>
      </c>
    </row>
    <row r="47" customFormat="false" ht="19.4" hidden="false" customHeight="false" outlineLevel="0" collapsed="false">
      <c r="A47" s="27" t="s">
        <v>266</v>
      </c>
      <c r="B47" s="28" t="s">
        <v>267</v>
      </c>
      <c r="C47" s="29" t="s">
        <v>268</v>
      </c>
      <c r="D47" s="30" t="s">
        <v>127</v>
      </c>
      <c r="E47" s="41" t="n">
        <v>0.3333</v>
      </c>
      <c r="F47" s="42" t="n">
        <v>0.2</v>
      </c>
      <c r="G47" s="42" t="n">
        <v>0.5</v>
      </c>
      <c r="H47" s="33" t="s">
        <v>269</v>
      </c>
      <c r="I47" s="34" t="s">
        <v>222</v>
      </c>
    </row>
    <row r="48" customFormat="false" ht="19.4" hidden="false" customHeight="false" outlineLevel="0" collapsed="false">
      <c r="A48" s="27" t="s">
        <v>270</v>
      </c>
      <c r="B48" s="28" t="s">
        <v>271</v>
      </c>
      <c r="C48" s="29" t="s">
        <v>272</v>
      </c>
      <c r="D48" s="30" t="s">
        <v>185</v>
      </c>
      <c r="E48" s="45" t="n">
        <v>6000000</v>
      </c>
      <c r="F48" s="46" t="n">
        <v>500000</v>
      </c>
      <c r="G48" s="46" t="n">
        <v>20000000</v>
      </c>
      <c r="H48" s="33" t="s">
        <v>273</v>
      </c>
      <c r="I48" s="34" t="s">
        <v>216</v>
      </c>
    </row>
    <row r="49" customFormat="false" ht="28.35" hidden="false" customHeight="false" outlineLevel="0" collapsed="false">
      <c r="A49" s="27" t="s">
        <v>274</v>
      </c>
      <c r="B49" s="28" t="s">
        <v>275</v>
      </c>
      <c r="C49" s="29" t="s">
        <v>276</v>
      </c>
      <c r="D49" s="30" t="s">
        <v>277</v>
      </c>
      <c r="E49" s="31" t="n">
        <v>82000</v>
      </c>
      <c r="F49" s="32" t="n">
        <v>60000</v>
      </c>
      <c r="G49" s="32" t="n">
        <v>120000</v>
      </c>
      <c r="H49" s="33" t="s">
        <v>278</v>
      </c>
      <c r="I49" s="34" t="s">
        <v>176</v>
      </c>
    </row>
    <row r="51" customFormat="false" ht="18.75" hidden="false" customHeight="true" outlineLevel="0" collapsed="false">
      <c r="A51" s="4" t="s">
        <v>279</v>
      </c>
      <c r="B51" s="4"/>
      <c r="C51" s="4"/>
      <c r="D51" s="4"/>
      <c r="E51" s="4"/>
      <c r="F51" s="4"/>
      <c r="G51" s="4"/>
      <c r="H51" s="4"/>
      <c r="I51" s="4"/>
    </row>
    <row r="52" customFormat="false" ht="17.25" hidden="false" customHeight="true" outlineLevel="0" collapsed="false">
      <c r="A52" s="51" t="s">
        <v>27</v>
      </c>
      <c r="B52" s="51"/>
      <c r="C52" s="52"/>
      <c r="D52" s="52"/>
      <c r="E52" s="53" t="n">
        <f aca="false">COUNTA($A$7:$A$49)-COUNTBLANK($E$7:$E$49)</f>
        <v>38</v>
      </c>
      <c r="F52" s="52"/>
      <c r="G52" s="52"/>
      <c r="H52" s="54" t="s">
        <v>280</v>
      </c>
      <c r="I52" s="54"/>
    </row>
    <row r="53" customFormat="false" ht="28.5" hidden="false" customHeight="true" outlineLevel="0" collapsed="false">
      <c r="A53" s="51" t="s">
        <v>281</v>
      </c>
      <c r="B53" s="51"/>
      <c r="C53" s="52"/>
      <c r="D53" s="52"/>
      <c r="E53" s="53" t="n">
        <f aca="false">COUNTIF($I$7:$I$49,"*hypothèse*")+COUNTIF($I$7:$I$49,"*heuristique*")</f>
        <v>10</v>
      </c>
      <c r="F53" s="52"/>
      <c r="G53" s="52"/>
      <c r="H53" s="54" t="s">
        <v>282</v>
      </c>
      <c r="I53" s="54"/>
    </row>
    <row r="54" customFormat="false" ht="17.25" hidden="false" customHeight="true" outlineLevel="0" collapsed="false">
      <c r="A54" s="51" t="s">
        <v>283</v>
      </c>
      <c r="B54" s="51"/>
      <c r="C54" s="52"/>
      <c r="D54" s="52"/>
      <c r="E54" s="53" t="n">
        <f aca="false">COUNTIF($I$7:$I$49,"*vide*")</f>
        <v>6</v>
      </c>
      <c r="F54" s="52"/>
      <c r="G54" s="52"/>
      <c r="H54" s="54" t="s">
        <v>284</v>
      </c>
      <c r="I54" s="54"/>
    </row>
    <row r="55" customFormat="false" ht="17.25" hidden="false" customHeight="true" outlineLevel="0" collapsed="false">
      <c r="A55" s="51" t="s">
        <v>285</v>
      </c>
      <c r="B55" s="51"/>
      <c r="C55" s="52"/>
      <c r="D55" s="52"/>
      <c r="E55" s="53" t="n">
        <f aca="false">COUNTIF($I$7:$I$49,"*à saisir*")</f>
        <v>3</v>
      </c>
      <c r="F55" s="52"/>
      <c r="G55" s="52"/>
      <c r="H55" s="54" t="s">
        <v>286</v>
      </c>
      <c r="I55" s="54"/>
    </row>
    <row r="56" customFormat="false" ht="17.25" hidden="false" customHeight="true" outlineLevel="0" collapsed="false">
      <c r="A56" s="51" t="s">
        <v>287</v>
      </c>
      <c r="B56" s="51"/>
      <c r="C56" s="52"/>
      <c r="D56" s="52"/>
      <c r="E56" s="53" t="n">
        <f aca="false">$E$52-$E$53-$E$54-$E$55</f>
        <v>19</v>
      </c>
      <c r="F56" s="52"/>
      <c r="G56" s="52"/>
      <c r="H56" s="54" t="s">
        <v>288</v>
      </c>
      <c r="I56" s="54"/>
    </row>
    <row r="57" customFormat="false" ht="17.25" hidden="false" customHeight="true" outlineLevel="0" collapsed="false">
      <c r="A57" s="51" t="s">
        <v>289</v>
      </c>
      <c r="B57" s="51"/>
      <c r="C57" s="52"/>
      <c r="D57" s="52"/>
      <c r="E57" s="55" t="n">
        <f aca="false">IF($E$52=0,0,$E$53/$E$52)</f>
        <v>0.263157894736842</v>
      </c>
      <c r="F57" s="52"/>
      <c r="G57" s="52"/>
      <c r="H57" s="54" t="s">
        <v>290</v>
      </c>
      <c r="I57" s="54"/>
    </row>
    <row r="58" customFormat="false" ht="17.25" hidden="false" customHeight="true" outlineLevel="0" collapsed="false">
      <c r="A58" s="51" t="s">
        <v>291</v>
      </c>
      <c r="B58" s="51"/>
      <c r="C58" s="52"/>
      <c r="D58" s="52"/>
      <c r="E58" s="55" t="n">
        <f aca="false">'2. Hypothèses'!$E$47</f>
        <v>0.3333</v>
      </c>
      <c r="F58" s="52"/>
      <c r="G58" s="52"/>
      <c r="H58" s="54" t="s">
        <v>292</v>
      </c>
      <c r="I58" s="54"/>
    </row>
    <row r="59" customFormat="false" ht="17.25" hidden="false" customHeight="true" outlineLevel="0" collapsed="false">
      <c r="A59" s="51" t="s">
        <v>33</v>
      </c>
      <c r="B59" s="51"/>
      <c r="C59" s="52"/>
      <c r="D59" s="52"/>
      <c r="E59" s="56" t="str">
        <f aca="false">IF($E$57&lt;=$E$58,"Recevable, part des variables sans source externe sous le seuil","Non présentable en comité d’investissement en l’état")</f>
        <v>Recevable, part des variables sans source externe sous le seuil</v>
      </c>
      <c r="F59" s="52"/>
      <c r="G59" s="52"/>
      <c r="H59" s="54" t="s">
        <v>293</v>
      </c>
      <c r="I59" s="54"/>
    </row>
    <row r="60" customFormat="false" ht="28.5" hidden="false" customHeight="true" outlineLevel="0" collapsed="false">
      <c r="A60" s="51" t="s">
        <v>35</v>
      </c>
      <c r="B60" s="51"/>
      <c r="C60" s="52"/>
      <c r="D60" s="52"/>
      <c r="E60" s="55" t="n">
        <f aca="false">IF($E$52=0,0,($E$53+$E$54+$E$55)/$E$52)</f>
        <v>0.5</v>
      </c>
      <c r="F60" s="52"/>
      <c r="G60" s="52"/>
      <c r="H60" s="54" t="s">
        <v>294</v>
      </c>
      <c r="I60" s="54"/>
    </row>
    <row r="61" customFormat="false" ht="28.5" hidden="false" customHeight="true" outlineLevel="0" collapsed="false">
      <c r="A61" s="51" t="s">
        <v>295</v>
      </c>
      <c r="B61" s="51"/>
      <c r="C61" s="52"/>
      <c r="D61" s="52"/>
      <c r="E61" s="53" t="n">
        <f aca="false">IF('2. Hypothèses'!$E$26*'2. Hypothèses'!$E$12=0,0,'2. Hypothèses'!$E$25/('2. Hypothèses'!$E$26*'2. Hypothèses'!$E$12))</f>
        <v>131.868131868132</v>
      </c>
      <c r="F61" s="52"/>
      <c r="G61" s="52"/>
      <c r="H61" s="54" t="s">
        <v>296</v>
      </c>
      <c r="I61" s="54"/>
    </row>
    <row r="62" customFormat="false" ht="28.5" hidden="false" customHeight="true" outlineLevel="0" collapsed="false">
      <c r="A62" s="51" t="s">
        <v>297</v>
      </c>
      <c r="B62" s="51"/>
      <c r="C62" s="52"/>
      <c r="D62" s="52"/>
      <c r="E62" s="57" t="n">
        <f aca="false">IF(('2. Hypothèses'!$E$28+'2. Hypothèses'!$E$29)=0,0,(('2. Hypothèses'!$E$28+'2. Hypothèses'!$E$29)*'2. Hypothèses'!$E$27)/('2. Hypothèses'!$E$28+'2. Hypothèses'!$E$29))</f>
        <v>120000</v>
      </c>
      <c r="F62" s="52"/>
      <c r="G62" s="52"/>
      <c r="H62" s="54" t="s">
        <v>298</v>
      </c>
      <c r="I62" s="54"/>
    </row>
    <row r="64" customFormat="false" ht="18.75" hidden="false" customHeight="true" outlineLevel="0" collapsed="false">
      <c r="A64" s="4" t="s">
        <v>299</v>
      </c>
      <c r="B64" s="4"/>
      <c r="C64" s="4"/>
      <c r="D64" s="4"/>
      <c r="E64" s="4"/>
      <c r="F64" s="4"/>
      <c r="G64" s="4"/>
      <c r="H64" s="4"/>
      <c r="I64" s="4"/>
    </row>
    <row r="65" customFormat="false" ht="30" hidden="false" customHeight="true" outlineLevel="0" collapsed="false">
      <c r="A65" s="8" t="s">
        <v>77</v>
      </c>
      <c r="B65" s="8" t="s">
        <v>300</v>
      </c>
      <c r="C65" s="8" t="s">
        <v>79</v>
      </c>
      <c r="D65" s="8" t="s">
        <v>80</v>
      </c>
      <c r="E65" s="8" t="s">
        <v>301</v>
      </c>
      <c r="F65" s="8" t="s">
        <v>302</v>
      </c>
      <c r="G65" s="8" t="s">
        <v>303</v>
      </c>
      <c r="H65" s="8" t="s">
        <v>304</v>
      </c>
      <c r="I65" s="8" t="s">
        <v>305</v>
      </c>
    </row>
    <row r="66" customFormat="false" ht="28.35" hidden="false" customHeight="false" outlineLevel="0" collapsed="false">
      <c r="A66" s="27" t="s">
        <v>306</v>
      </c>
      <c r="B66" s="28" t="s">
        <v>307</v>
      </c>
      <c r="C66" s="29" t="s">
        <v>100</v>
      </c>
      <c r="D66" s="30" t="s">
        <v>180</v>
      </c>
      <c r="E66" s="58" t="n">
        <f aca="false">'2. Hypothèses'!$E$9</f>
        <v>0.1</v>
      </c>
      <c r="F66" s="35" t="n">
        <v>0.12</v>
      </c>
      <c r="G66" s="58" t="n">
        <f aca="false">'2. Hypothèses'!$E$9</f>
        <v>0.1</v>
      </c>
      <c r="H66" s="58" t="n">
        <f aca="false">'2. Hypothèses'!$E$9</f>
        <v>0.1</v>
      </c>
      <c r="I66" s="12" t="s">
        <v>308</v>
      </c>
    </row>
    <row r="67" customFormat="false" ht="28.35" hidden="false" customHeight="false" outlineLevel="0" collapsed="false">
      <c r="A67" s="27" t="s">
        <v>309</v>
      </c>
      <c r="B67" s="28" t="s">
        <v>310</v>
      </c>
      <c r="C67" s="29" t="s">
        <v>105</v>
      </c>
      <c r="D67" s="30" t="s">
        <v>180</v>
      </c>
      <c r="E67" s="58" t="n">
        <f aca="false">'2. Hypothèses'!$E$10</f>
        <v>0.9</v>
      </c>
      <c r="F67" s="58" t="n">
        <f aca="false">'2. Hypothèses'!$E$10</f>
        <v>0.9</v>
      </c>
      <c r="G67" s="58" t="n">
        <f aca="false">'2. Hypothèses'!$E$10</f>
        <v>0.9</v>
      </c>
      <c r="H67" s="35" t="n">
        <v>0.75</v>
      </c>
      <c r="I67" s="12" t="s">
        <v>311</v>
      </c>
    </row>
    <row r="68" customFormat="false" ht="19.4" hidden="false" customHeight="false" outlineLevel="0" collapsed="false">
      <c r="A68" s="27" t="s">
        <v>312</v>
      </c>
      <c r="B68" s="28" t="s">
        <v>313</v>
      </c>
      <c r="C68" s="29" t="s">
        <v>110</v>
      </c>
      <c r="D68" s="30" t="s">
        <v>180</v>
      </c>
      <c r="E68" s="59" t="n">
        <f aca="false">'2. Hypothèses'!$E$11</f>
        <v>0.19</v>
      </c>
      <c r="F68" s="59" t="n">
        <f aca="false">'2. Hypothèses'!$E$11</f>
        <v>0.19</v>
      </c>
      <c r="G68" s="59" t="n">
        <f aca="false">'2. Hypothèses'!$E$11</f>
        <v>0.19</v>
      </c>
      <c r="H68" s="59" t="n">
        <f aca="false">'2. Hypothèses'!$E$11</f>
        <v>0.19</v>
      </c>
      <c r="I68" s="12" t="s">
        <v>314</v>
      </c>
    </row>
    <row r="69" customFormat="false" ht="19.4" hidden="false" customHeight="false" outlineLevel="0" collapsed="false">
      <c r="A69" s="27" t="s">
        <v>315</v>
      </c>
      <c r="B69" s="28" t="s">
        <v>316</v>
      </c>
      <c r="C69" s="29" t="s">
        <v>137</v>
      </c>
      <c r="D69" s="30" t="s">
        <v>127</v>
      </c>
      <c r="E69" s="60" t="n">
        <f aca="false">'2. Hypothèses'!$E$17</f>
        <v>0.02</v>
      </c>
      <c r="F69" s="41" t="n">
        <v>0.04</v>
      </c>
      <c r="G69" s="60" t="n">
        <f aca="false">'2. Hypothèses'!$E$17</f>
        <v>0.02</v>
      </c>
      <c r="H69" s="41" t="n">
        <v>0.01</v>
      </c>
      <c r="I69" s="12" t="s">
        <v>317</v>
      </c>
    </row>
    <row r="70" customFormat="false" ht="28.35" hidden="false" customHeight="false" outlineLevel="0" collapsed="false">
      <c r="A70" s="27" t="s">
        <v>318</v>
      </c>
      <c r="B70" s="28" t="s">
        <v>319</v>
      </c>
      <c r="C70" s="29" t="s">
        <v>126</v>
      </c>
      <c r="D70" s="30" t="s">
        <v>127</v>
      </c>
      <c r="E70" s="41" t="n">
        <v>0.275</v>
      </c>
      <c r="F70" s="60" t="n">
        <f aca="false">'2. Hypothèses'!$E$15</f>
        <v>0.55</v>
      </c>
      <c r="G70" s="60" t="n">
        <f aca="false">'2. Hypothèses'!$E$15</f>
        <v>0.55</v>
      </c>
      <c r="H70" s="41" t="n">
        <v>0.8</v>
      </c>
      <c r="I70" s="12" t="s">
        <v>320</v>
      </c>
    </row>
    <row r="71" customFormat="false" ht="19.4" hidden="false" customHeight="false" outlineLevel="0" collapsed="false">
      <c r="A71" s="27" t="s">
        <v>321</v>
      </c>
      <c r="B71" s="28" t="s">
        <v>322</v>
      </c>
      <c r="C71" s="29" t="s">
        <v>132</v>
      </c>
      <c r="D71" s="30" t="s">
        <v>127</v>
      </c>
      <c r="E71" s="60" t="n">
        <f aca="false">'2. Hypothèses'!$E$16</f>
        <v>0.2</v>
      </c>
      <c r="F71" s="41" t="n">
        <v>0.4</v>
      </c>
      <c r="G71" s="60" t="n">
        <f aca="false">'2. Hypothèses'!$E$16</f>
        <v>0.2</v>
      </c>
      <c r="H71" s="41" t="n">
        <v>0.1</v>
      </c>
      <c r="I71" s="12" t="s">
        <v>323</v>
      </c>
    </row>
    <row r="72" customFormat="false" ht="28.35" hidden="false" customHeight="false" outlineLevel="0" collapsed="false">
      <c r="A72" s="27" t="s">
        <v>324</v>
      </c>
      <c r="B72" s="28" t="s">
        <v>325</v>
      </c>
      <c r="C72" s="29" t="s">
        <v>153</v>
      </c>
      <c r="D72" s="30" t="s">
        <v>154</v>
      </c>
      <c r="E72" s="39" t="n">
        <v>2</v>
      </c>
      <c r="F72" s="61" t="n">
        <f aca="false">'2. Hypothèses'!$E$21</f>
        <v>1</v>
      </c>
      <c r="G72" s="61" t="n">
        <f aca="false">'2. Hypothèses'!$E$21</f>
        <v>1</v>
      </c>
      <c r="H72" s="39" t="n">
        <v>0.5</v>
      </c>
      <c r="I72" s="12" t="s">
        <v>326</v>
      </c>
    </row>
    <row r="73" customFormat="false" ht="19.4" hidden="false" customHeight="false" outlineLevel="0" collapsed="false">
      <c r="A73" s="27" t="s">
        <v>327</v>
      </c>
      <c r="B73" s="28" t="s">
        <v>328</v>
      </c>
      <c r="C73" s="29" t="s">
        <v>163</v>
      </c>
      <c r="D73" s="30" t="s">
        <v>127</v>
      </c>
      <c r="E73" s="62" t="n">
        <f aca="false">'2. Hypothèses'!$E$23</f>
        <v>0.5</v>
      </c>
      <c r="F73" s="62" t="n">
        <f aca="false">'2. Hypothèses'!$E$23</f>
        <v>0.5</v>
      </c>
      <c r="G73" s="62" t="n">
        <f aca="false">'2. Hypothèses'!$E$23</f>
        <v>0.5</v>
      </c>
      <c r="H73" s="43" t="n">
        <v>0</v>
      </c>
      <c r="I73" s="12" t="s">
        <v>329</v>
      </c>
    </row>
    <row r="74" customFormat="false" ht="19.4" hidden="false" customHeight="false" outlineLevel="0" collapsed="false">
      <c r="A74" s="27" t="s">
        <v>330</v>
      </c>
      <c r="B74" s="28" t="s">
        <v>145</v>
      </c>
      <c r="C74" s="29" t="s">
        <v>146</v>
      </c>
      <c r="D74" s="30" t="s">
        <v>127</v>
      </c>
      <c r="E74" s="60" t="n">
        <f aca="false">'2. Hypothèses'!$E$19</f>
        <v>0.05</v>
      </c>
      <c r="F74" s="60" t="n">
        <f aca="false">'2. Hypothèses'!$E$19</f>
        <v>0.05</v>
      </c>
      <c r="G74" s="60" t="n">
        <f aca="false">'2. Hypothèses'!$E$19</f>
        <v>0.05</v>
      </c>
      <c r="H74" s="41" t="n">
        <v>0</v>
      </c>
      <c r="I74" s="12" t="s">
        <v>331</v>
      </c>
    </row>
    <row r="75" customFormat="false" ht="19.4" hidden="false" customHeight="false" outlineLevel="0" collapsed="false">
      <c r="A75" s="27" t="s">
        <v>332</v>
      </c>
      <c r="B75" s="28" t="s">
        <v>333</v>
      </c>
      <c r="C75" s="29" t="s">
        <v>225</v>
      </c>
      <c r="D75" s="30" t="s">
        <v>127</v>
      </c>
      <c r="E75" s="43" t="n">
        <v>0.3</v>
      </c>
      <c r="F75" s="62" t="n">
        <f aca="false">'2. Hypothèses'!$E$36</f>
        <v>0.25</v>
      </c>
      <c r="G75" s="62" t="n">
        <f aca="false">'2. Hypothèses'!$E$36</f>
        <v>0.25</v>
      </c>
      <c r="H75" s="43" t="n">
        <v>0.2</v>
      </c>
      <c r="I75" s="12" t="s">
        <v>334</v>
      </c>
    </row>
    <row r="76" customFormat="false" ht="19.4" hidden="false" customHeight="false" outlineLevel="0" collapsed="false">
      <c r="A76" s="27" t="s">
        <v>335</v>
      </c>
      <c r="B76" s="28" t="s">
        <v>198</v>
      </c>
      <c r="C76" s="29" t="s">
        <v>199</v>
      </c>
      <c r="D76" s="30" t="s">
        <v>127</v>
      </c>
      <c r="E76" s="43" t="n">
        <v>0.6</v>
      </c>
      <c r="F76" s="62" t="n">
        <f aca="false">'2. Hypothèses'!$E$31</f>
        <v>0.45</v>
      </c>
      <c r="G76" s="62" t="n">
        <f aca="false">'2. Hypothèses'!$E$31</f>
        <v>0.45</v>
      </c>
      <c r="H76" s="62" t="n">
        <f aca="false">'2. Hypothèses'!$E$31</f>
        <v>0.45</v>
      </c>
      <c r="I76" s="12" t="s">
        <v>336</v>
      </c>
    </row>
    <row r="77" customFormat="false" ht="28.35" hidden="false" customHeight="false" outlineLevel="0" collapsed="false">
      <c r="A77" s="27" t="s">
        <v>337</v>
      </c>
      <c r="B77" s="28" t="s">
        <v>203</v>
      </c>
      <c r="C77" s="29" t="s">
        <v>204</v>
      </c>
      <c r="D77" s="30" t="s">
        <v>338</v>
      </c>
      <c r="E77" s="63" t="n">
        <f aca="false">'2. Hypothèses'!$E$32</f>
        <v>1</v>
      </c>
      <c r="F77" s="63" t="n">
        <f aca="false">'2. Hypothèses'!$E$32</f>
        <v>1</v>
      </c>
      <c r="G77" s="63" t="n">
        <f aca="false">'2. Hypothèses'!$E$32</f>
        <v>1</v>
      </c>
      <c r="H77" s="47" t="n">
        <v>0.5</v>
      </c>
      <c r="I77" s="12" t="s">
        <v>339</v>
      </c>
    </row>
    <row r="78" customFormat="false" ht="19.4" hidden="false" customHeight="false" outlineLevel="0" collapsed="false">
      <c r="A78" s="27" t="s">
        <v>340</v>
      </c>
      <c r="B78" s="28" t="s">
        <v>208</v>
      </c>
      <c r="C78" s="29" t="s">
        <v>209</v>
      </c>
      <c r="D78" s="30" t="s">
        <v>169</v>
      </c>
      <c r="E78" s="45" t="n">
        <v>300000</v>
      </c>
      <c r="F78" s="64" t="n">
        <f aca="false">'2. Hypothèses'!$E$33</f>
        <v>150000</v>
      </c>
      <c r="G78" s="64" t="n">
        <f aca="false">'2. Hypothèses'!$E$33</f>
        <v>150000</v>
      </c>
      <c r="H78" s="64" t="n">
        <f aca="false">'2. Hypothèses'!$E$33</f>
        <v>150000</v>
      </c>
      <c r="I78" s="12" t="s">
        <v>341</v>
      </c>
    </row>
    <row r="79" customFormat="false" ht="15" hidden="false" customHeight="false" outlineLevel="0" collapsed="false">
      <c r="A79" s="27" t="s">
        <v>342</v>
      </c>
      <c r="B79" s="28" t="s">
        <v>188</v>
      </c>
      <c r="C79" s="29" t="s">
        <v>189</v>
      </c>
      <c r="D79" s="30" t="s">
        <v>338</v>
      </c>
      <c r="E79" s="63" t="n">
        <f aca="false">'2. Hypothèses'!$E$28</f>
        <v>1.5</v>
      </c>
      <c r="F79" s="47" t="n">
        <v>2.25</v>
      </c>
      <c r="G79" s="63" t="n">
        <f aca="false">'2. Hypothèses'!$E$28</f>
        <v>1.5</v>
      </c>
      <c r="H79" s="63" t="n">
        <f aca="false">'2. Hypothèses'!$E$28</f>
        <v>1.5</v>
      </c>
      <c r="I79" s="12" t="s">
        <v>343</v>
      </c>
    </row>
    <row r="80" customFormat="false" ht="15" hidden="false" customHeight="false" outlineLevel="0" collapsed="false">
      <c r="A80" s="27" t="s">
        <v>344</v>
      </c>
      <c r="B80" s="28" t="s">
        <v>345</v>
      </c>
      <c r="C80" s="29" t="s">
        <v>194</v>
      </c>
      <c r="D80" s="30" t="s">
        <v>338</v>
      </c>
      <c r="E80" s="63" t="n">
        <f aca="false">'2. Hypothèses'!$E$29</f>
        <v>0.75</v>
      </c>
      <c r="F80" s="47" t="n">
        <v>1.125</v>
      </c>
      <c r="G80" s="63" t="n">
        <f aca="false">'2. Hypothèses'!$E$29</f>
        <v>0.75</v>
      </c>
      <c r="H80" s="63" t="n">
        <f aca="false">'2. Hypothèses'!$E$29</f>
        <v>0.75</v>
      </c>
      <c r="I80" s="12" t="s">
        <v>346</v>
      </c>
    </row>
    <row r="82" customFormat="false" ht="18.75" hidden="false" customHeight="true" outlineLevel="0" collapsed="false">
      <c r="A82" s="4" t="s">
        <v>347</v>
      </c>
      <c r="B82" s="4"/>
      <c r="C82" s="4"/>
      <c r="D82" s="4"/>
      <c r="E82" s="4"/>
      <c r="F82" s="4"/>
      <c r="G82" s="4"/>
      <c r="H82" s="4"/>
      <c r="I82" s="4"/>
      <c r="J82" s="4"/>
      <c r="K82" s="4"/>
      <c r="L82" s="4"/>
      <c r="M82" s="4"/>
      <c r="N82" s="4"/>
      <c r="O82" s="4"/>
      <c r="P82" s="4"/>
      <c r="Q82" s="4"/>
      <c r="R82" s="4"/>
    </row>
    <row r="83" customFormat="false" ht="33.75" hidden="false" customHeight="true" outlineLevel="0" collapsed="false">
      <c r="A83" s="65" t="s">
        <v>348</v>
      </c>
      <c r="B83" s="66" t="s">
        <v>349</v>
      </c>
      <c r="C83" s="66" t="s">
        <v>350</v>
      </c>
      <c r="D83" s="66" t="s">
        <v>351</v>
      </c>
      <c r="E83" s="66" t="s">
        <v>352</v>
      </c>
      <c r="F83" s="66" t="s">
        <v>353</v>
      </c>
      <c r="G83" s="66" t="s">
        <v>354</v>
      </c>
      <c r="H83" s="66" t="s">
        <v>355</v>
      </c>
      <c r="I83" s="66" t="s">
        <v>356</v>
      </c>
      <c r="J83" s="66" t="s">
        <v>357</v>
      </c>
      <c r="K83" s="66" t="s">
        <v>358</v>
      </c>
      <c r="L83" s="66" t="s">
        <v>359</v>
      </c>
      <c r="M83" s="66" t="s">
        <v>360</v>
      </c>
      <c r="N83" s="66" t="s">
        <v>361</v>
      </c>
      <c r="O83" s="66" t="s">
        <v>362</v>
      </c>
      <c r="P83" s="66" t="s">
        <v>363</v>
      </c>
      <c r="Q83" s="66" t="s">
        <v>364</v>
      </c>
      <c r="R83" s="66" t="s">
        <v>365</v>
      </c>
    </row>
    <row r="84" customFormat="false" ht="15" hidden="false" customHeight="false" outlineLevel="0" collapsed="false">
      <c r="A84" s="67" t="n">
        <v>1</v>
      </c>
      <c r="B84" s="68" t="s">
        <v>366</v>
      </c>
      <c r="C84" s="69" t="s">
        <v>367</v>
      </c>
      <c r="D84" s="68" t="s">
        <v>368</v>
      </c>
      <c r="E84" s="70" t="n">
        <v>120000</v>
      </c>
      <c r="F84" s="71" t="n">
        <v>0.75</v>
      </c>
      <c r="G84" s="71" t="n">
        <v>0.1</v>
      </c>
      <c r="H84" s="68" t="s">
        <v>369</v>
      </c>
      <c r="I84" s="72" t="s">
        <v>92</v>
      </c>
      <c r="J84" s="71" t="n">
        <v>0.9</v>
      </c>
      <c r="K84" s="73" t="n">
        <v>0.55</v>
      </c>
      <c r="L84" s="73" t="n">
        <v>0.2</v>
      </c>
      <c r="M84" s="74" t="n">
        <v>1</v>
      </c>
      <c r="N84" s="75" t="n">
        <v>150000</v>
      </c>
      <c r="O84" s="75" t="n">
        <v>60000</v>
      </c>
      <c r="P84" s="76" t="n">
        <v>1.5</v>
      </c>
      <c r="Q84" s="76" t="n">
        <v>0.75</v>
      </c>
      <c r="R84" s="77" t="n">
        <v>0.45</v>
      </c>
    </row>
    <row r="85" customFormat="false" ht="19.4" hidden="false" customHeight="false" outlineLevel="0" collapsed="false">
      <c r="A85" s="67" t="n">
        <v>2</v>
      </c>
      <c r="B85" s="68" t="s">
        <v>370</v>
      </c>
      <c r="C85" s="69" t="s">
        <v>371</v>
      </c>
      <c r="D85" s="68" t="s">
        <v>372</v>
      </c>
      <c r="E85" s="70" t="n">
        <v>600000</v>
      </c>
      <c r="F85" s="71" t="n">
        <v>0.2</v>
      </c>
      <c r="G85" s="71" t="n">
        <v>0.03</v>
      </c>
      <c r="H85" s="68" t="s">
        <v>373</v>
      </c>
      <c r="I85" s="72" t="s">
        <v>374</v>
      </c>
      <c r="J85" s="71" t="n">
        <v>0.25</v>
      </c>
      <c r="K85" s="73" t="n">
        <v>0.55</v>
      </c>
      <c r="L85" s="73" t="n">
        <v>0.2</v>
      </c>
      <c r="M85" s="74" t="n">
        <v>0.3</v>
      </c>
      <c r="N85" s="75" t="n">
        <v>150000</v>
      </c>
      <c r="O85" s="75" t="n">
        <v>60000</v>
      </c>
      <c r="P85" s="76" t="n">
        <v>1.5</v>
      </c>
      <c r="Q85" s="76" t="n">
        <v>0.75</v>
      </c>
      <c r="R85" s="77" t="n">
        <v>0.45</v>
      </c>
    </row>
    <row r="86" customFormat="false" ht="15" hidden="false" customHeight="false" outlineLevel="0" collapsed="false">
      <c r="A86" s="67" t="n">
        <v>3</v>
      </c>
      <c r="B86" s="68" t="s">
        <v>375</v>
      </c>
      <c r="C86" s="69" t="s">
        <v>376</v>
      </c>
      <c r="D86" s="68" t="s">
        <v>372</v>
      </c>
      <c r="E86" s="70" t="n">
        <v>45000</v>
      </c>
      <c r="F86" s="71" t="n">
        <v>1.5</v>
      </c>
      <c r="G86" s="71" t="n">
        <v>0.25</v>
      </c>
      <c r="H86" s="68" t="s">
        <v>377</v>
      </c>
      <c r="I86" s="72" t="s">
        <v>92</v>
      </c>
      <c r="J86" s="71" t="n">
        <v>1.8</v>
      </c>
      <c r="K86" s="73" t="n">
        <v>0.5</v>
      </c>
      <c r="L86" s="73" t="n">
        <v>0.25</v>
      </c>
      <c r="M86" s="74" t="n">
        <v>1.5</v>
      </c>
      <c r="N86" s="75" t="n">
        <v>200000</v>
      </c>
      <c r="O86" s="75" t="n">
        <v>80000</v>
      </c>
      <c r="P86" s="76" t="n">
        <v>1.5</v>
      </c>
      <c r="Q86" s="76" t="n">
        <v>1</v>
      </c>
      <c r="R86" s="77" t="n">
        <v>0.5</v>
      </c>
    </row>
    <row r="87" customFormat="false" ht="19.4" hidden="false" customHeight="false" outlineLevel="0" collapsed="false">
      <c r="A87" s="67" t="n">
        <v>4</v>
      </c>
      <c r="B87" s="68" t="s">
        <v>378</v>
      </c>
      <c r="C87" s="69" t="s">
        <v>379</v>
      </c>
      <c r="D87" s="68" t="s">
        <v>380</v>
      </c>
      <c r="E87" s="70" t="n">
        <v>250000</v>
      </c>
      <c r="F87" s="71" t="n">
        <v>0.2</v>
      </c>
      <c r="G87" s="71" t="n">
        <v>0.03</v>
      </c>
      <c r="H87" s="68" t="s">
        <v>381</v>
      </c>
      <c r="I87" s="72" t="s">
        <v>92</v>
      </c>
      <c r="J87" s="71" t="n">
        <v>0.25</v>
      </c>
      <c r="K87" s="73" t="n">
        <v>0.6</v>
      </c>
      <c r="L87" s="73" t="n">
        <v>0.15</v>
      </c>
      <c r="M87" s="74" t="n">
        <v>0.5</v>
      </c>
      <c r="N87" s="75" t="n">
        <v>150000</v>
      </c>
      <c r="O87" s="75" t="n">
        <v>50000</v>
      </c>
      <c r="P87" s="76" t="n">
        <v>1</v>
      </c>
      <c r="Q87" s="76" t="n">
        <v>0.5</v>
      </c>
      <c r="R87" s="77" t="n">
        <v>0.4</v>
      </c>
    </row>
    <row r="88" customFormat="false" ht="15" hidden="false" customHeight="false" outlineLevel="0" collapsed="false">
      <c r="A88" s="67" t="n">
        <v>5</v>
      </c>
      <c r="B88" s="68" t="s">
        <v>382</v>
      </c>
      <c r="C88" s="69" t="s">
        <v>383</v>
      </c>
      <c r="D88" s="68" t="s">
        <v>384</v>
      </c>
      <c r="E88" s="70" t="n">
        <v>180000</v>
      </c>
      <c r="F88" s="71" t="n">
        <v>0.35</v>
      </c>
      <c r="G88" s="71" t="n">
        <v>0.05</v>
      </c>
      <c r="H88" s="68" t="s">
        <v>385</v>
      </c>
      <c r="I88" s="72" t="s">
        <v>92</v>
      </c>
      <c r="J88" s="71" t="n">
        <v>0.45</v>
      </c>
      <c r="K88" s="73" t="n">
        <v>0.55</v>
      </c>
      <c r="L88" s="73" t="n">
        <v>0.2</v>
      </c>
      <c r="M88" s="74" t="n">
        <v>0.8</v>
      </c>
      <c r="N88" s="75" t="n">
        <v>180000</v>
      </c>
      <c r="O88" s="75" t="n">
        <v>70000</v>
      </c>
      <c r="P88" s="76" t="n">
        <v>1.5</v>
      </c>
      <c r="Q88" s="76" t="n">
        <v>0.75</v>
      </c>
      <c r="R88" s="77" t="n">
        <v>0.45</v>
      </c>
    </row>
    <row r="89" customFormat="false" ht="15" hidden="false" customHeight="false" outlineLevel="0" collapsed="false">
      <c r="A89" s="67" t="n">
        <v>6</v>
      </c>
      <c r="B89" s="68" t="s">
        <v>386</v>
      </c>
      <c r="C89" s="69" t="s">
        <v>387</v>
      </c>
      <c r="D89" s="68" t="s">
        <v>388</v>
      </c>
      <c r="E89" s="70" t="n">
        <v>90000</v>
      </c>
      <c r="F89" s="71" t="n">
        <v>0.5</v>
      </c>
      <c r="G89" s="71" t="n">
        <v>0.08</v>
      </c>
      <c r="H89" s="68" t="s">
        <v>389</v>
      </c>
      <c r="I89" s="72" t="s">
        <v>92</v>
      </c>
      <c r="J89" s="71" t="n">
        <v>0.6</v>
      </c>
      <c r="K89" s="73" t="n">
        <v>0.55</v>
      </c>
      <c r="L89" s="73" t="n">
        <v>0.2</v>
      </c>
      <c r="M89" s="74" t="n">
        <v>0.9</v>
      </c>
      <c r="N89" s="75" t="n">
        <v>150000</v>
      </c>
      <c r="O89" s="75" t="n">
        <v>60000</v>
      </c>
      <c r="P89" s="76" t="n">
        <v>1.25</v>
      </c>
      <c r="Q89" s="76" t="n">
        <v>0.75</v>
      </c>
      <c r="R89" s="77" t="n">
        <v>0.45</v>
      </c>
    </row>
    <row r="90" customFormat="false" ht="15" hidden="false" customHeight="false" outlineLevel="0" collapsed="false">
      <c r="A90" s="67" t="n">
        <v>7</v>
      </c>
      <c r="B90" s="68" t="s">
        <v>390</v>
      </c>
      <c r="C90" s="69" t="s">
        <v>391</v>
      </c>
      <c r="D90" s="68" t="s">
        <v>368</v>
      </c>
      <c r="E90" s="70" t="n">
        <v>300000</v>
      </c>
      <c r="F90" s="71" t="n">
        <v>0.12</v>
      </c>
      <c r="G90" s="71" t="n">
        <v>0.02</v>
      </c>
      <c r="H90" s="68" t="s">
        <v>392</v>
      </c>
      <c r="I90" s="72" t="s">
        <v>92</v>
      </c>
      <c r="J90" s="71" t="n">
        <v>0.15</v>
      </c>
      <c r="K90" s="73" t="n">
        <v>0.65</v>
      </c>
      <c r="L90" s="73" t="n">
        <v>0.15</v>
      </c>
      <c r="M90" s="74" t="n">
        <v>0.25</v>
      </c>
      <c r="N90" s="75" t="n">
        <v>120000</v>
      </c>
      <c r="O90" s="75" t="n">
        <v>40000</v>
      </c>
      <c r="P90" s="76" t="n">
        <v>1</v>
      </c>
      <c r="Q90" s="76" t="n">
        <v>0.5</v>
      </c>
      <c r="R90" s="77" t="n">
        <v>0.4</v>
      </c>
    </row>
    <row r="91" customFormat="false" ht="15" hidden="false" customHeight="false" outlineLevel="0" collapsed="false">
      <c r="A91" s="67" t="n">
        <v>8</v>
      </c>
      <c r="B91" s="68" t="s">
        <v>393</v>
      </c>
      <c r="C91" s="69" t="s">
        <v>394</v>
      </c>
      <c r="D91" s="68" t="s">
        <v>395</v>
      </c>
      <c r="E91" s="70" t="n">
        <v>12000</v>
      </c>
      <c r="F91" s="71" t="n">
        <v>4</v>
      </c>
      <c r="G91" s="71" t="n">
        <v>0.6</v>
      </c>
      <c r="H91" s="68" t="s">
        <v>396</v>
      </c>
      <c r="I91" s="72" t="s">
        <v>92</v>
      </c>
      <c r="J91" s="71" t="n">
        <v>4.8</v>
      </c>
      <c r="K91" s="73" t="n">
        <v>0.5</v>
      </c>
      <c r="L91" s="73" t="n">
        <v>0.25</v>
      </c>
      <c r="M91" s="74" t="n">
        <v>4</v>
      </c>
      <c r="N91" s="75" t="n">
        <v>200000</v>
      </c>
      <c r="O91" s="75" t="n">
        <v>80000</v>
      </c>
      <c r="P91" s="76" t="n">
        <v>1.5</v>
      </c>
      <c r="Q91" s="76" t="n">
        <v>1</v>
      </c>
      <c r="R91" s="77" t="n">
        <v>0.5</v>
      </c>
    </row>
    <row r="92" customFormat="false" ht="15" hidden="false" customHeight="false" outlineLevel="0" collapsed="false">
      <c r="A92" s="67" t="n">
        <v>9</v>
      </c>
      <c r="B92" s="68" t="s">
        <v>397</v>
      </c>
      <c r="C92" s="69" t="s">
        <v>398</v>
      </c>
      <c r="D92" s="68" t="s">
        <v>368</v>
      </c>
      <c r="E92" s="70" t="n">
        <v>8000</v>
      </c>
      <c r="F92" s="71" t="n">
        <v>3</v>
      </c>
      <c r="G92" s="71" t="n">
        <v>0.5</v>
      </c>
      <c r="H92" s="68" t="s">
        <v>399</v>
      </c>
      <c r="I92" s="72" t="s">
        <v>400</v>
      </c>
      <c r="J92" s="71" t="n">
        <v>3.6</v>
      </c>
      <c r="K92" s="73" t="n">
        <v>0.45</v>
      </c>
      <c r="L92" s="73" t="n">
        <v>0.25</v>
      </c>
      <c r="M92" s="74" t="n">
        <v>3</v>
      </c>
      <c r="N92" s="75" t="n">
        <v>150000</v>
      </c>
      <c r="O92" s="75" t="n">
        <v>60000</v>
      </c>
      <c r="P92" s="76" t="n">
        <v>1.25</v>
      </c>
      <c r="Q92" s="76" t="n">
        <v>0.75</v>
      </c>
      <c r="R92" s="77" t="n">
        <v>0.5</v>
      </c>
    </row>
    <row r="93" customFormat="false" ht="15" hidden="false" customHeight="false" outlineLevel="0" collapsed="false">
      <c r="A93" s="67" t="n">
        <v>10</v>
      </c>
      <c r="B93" s="68" t="s">
        <v>401</v>
      </c>
      <c r="C93" s="69" t="s">
        <v>402</v>
      </c>
      <c r="D93" s="68" t="s">
        <v>372</v>
      </c>
      <c r="E93" s="70" t="n">
        <v>500000</v>
      </c>
      <c r="F93" s="71" t="n">
        <v>0.08</v>
      </c>
      <c r="G93" s="71" t="n">
        <v>0.01</v>
      </c>
      <c r="H93" s="68" t="s">
        <v>403</v>
      </c>
      <c r="I93" s="72" t="s">
        <v>404</v>
      </c>
      <c r="J93" s="71" t="n">
        <v>0.1</v>
      </c>
      <c r="K93" s="73" t="n">
        <v>0.7</v>
      </c>
      <c r="L93" s="73" t="n">
        <v>0.1</v>
      </c>
      <c r="M93" s="74" t="n">
        <v>0.15</v>
      </c>
      <c r="N93" s="75" t="n">
        <v>100000</v>
      </c>
      <c r="O93" s="75" t="n">
        <v>40000</v>
      </c>
      <c r="P93" s="76" t="n">
        <v>1</v>
      </c>
      <c r="Q93" s="76" t="n">
        <v>0.5</v>
      </c>
      <c r="R93" s="77" t="n">
        <v>0.4</v>
      </c>
    </row>
    <row r="95" customFormat="false" ht="18.75" hidden="false" customHeight="true" outlineLevel="0" collapsed="false">
      <c r="A95" s="4" t="s">
        <v>405</v>
      </c>
      <c r="B95" s="4"/>
      <c r="C95" s="4"/>
      <c r="D95" s="4"/>
      <c r="E95" s="4"/>
      <c r="F95" s="4"/>
      <c r="G95" s="4"/>
      <c r="H95" s="4"/>
      <c r="I95" s="4"/>
    </row>
    <row r="96" customFormat="false" ht="30" hidden="false" customHeight="true" outlineLevel="0" collapsed="false">
      <c r="A96" s="8" t="s">
        <v>77</v>
      </c>
      <c r="B96" s="8" t="s">
        <v>300</v>
      </c>
      <c r="C96" s="8" t="s">
        <v>79</v>
      </c>
      <c r="D96" s="8" t="s">
        <v>80</v>
      </c>
      <c r="E96" s="8" t="s">
        <v>25</v>
      </c>
      <c r="F96" s="8"/>
      <c r="G96" s="8"/>
      <c r="H96" s="8" t="s">
        <v>406</v>
      </c>
      <c r="I96" s="8"/>
    </row>
    <row r="97" customFormat="false" ht="15" hidden="false" customHeight="true" outlineLevel="0" collapsed="false">
      <c r="A97" s="27" t="s">
        <v>407</v>
      </c>
      <c r="B97" s="28" t="s">
        <v>408</v>
      </c>
      <c r="C97" s="29" t="s">
        <v>409</v>
      </c>
      <c r="D97" s="78"/>
      <c r="E97" s="47" t="n">
        <v>2</v>
      </c>
      <c r="F97" s="52"/>
      <c r="G97" s="52"/>
      <c r="H97" s="54" t="s">
        <v>410</v>
      </c>
      <c r="I97" s="54"/>
    </row>
    <row r="98" customFormat="false" ht="15" hidden="false" customHeight="true" outlineLevel="0" collapsed="false">
      <c r="A98" s="27" t="s">
        <v>411</v>
      </c>
      <c r="B98" s="28" t="s">
        <v>412</v>
      </c>
      <c r="C98" s="29" t="s">
        <v>409</v>
      </c>
      <c r="D98" s="78"/>
      <c r="E98" s="47" t="n">
        <v>0.5</v>
      </c>
      <c r="F98" s="52"/>
      <c r="G98" s="52"/>
      <c r="H98" s="54" t="s">
        <v>410</v>
      </c>
      <c r="I98" s="54"/>
    </row>
    <row r="99" customFormat="false" ht="15" hidden="false" customHeight="true" outlineLevel="0" collapsed="false">
      <c r="A99" s="27" t="s">
        <v>413</v>
      </c>
      <c r="B99" s="28" t="s">
        <v>414</v>
      </c>
      <c r="C99" s="29" t="s">
        <v>127</v>
      </c>
      <c r="D99" s="78"/>
      <c r="E99" s="41" t="n">
        <v>0.01</v>
      </c>
      <c r="F99" s="52"/>
      <c r="G99" s="52"/>
      <c r="H99" s="54" t="s">
        <v>415</v>
      </c>
      <c r="I99" s="54"/>
    </row>
    <row r="100" customFormat="false" ht="15" hidden="false" customHeight="true" outlineLevel="0" collapsed="false">
      <c r="A100" s="27" t="s">
        <v>416</v>
      </c>
      <c r="B100" s="28" t="s">
        <v>417</v>
      </c>
      <c r="C100" s="29" t="s">
        <v>127</v>
      </c>
      <c r="D100" s="78"/>
      <c r="E100" s="41" t="n">
        <v>0.05</v>
      </c>
      <c r="F100" s="52"/>
      <c r="G100" s="52"/>
      <c r="H100" s="54" t="s">
        <v>415</v>
      </c>
      <c r="I100" s="54"/>
    </row>
    <row r="101" customFormat="false" ht="15" hidden="false" customHeight="true" outlineLevel="0" collapsed="false">
      <c r="A101" s="27" t="s">
        <v>418</v>
      </c>
      <c r="B101" s="28" t="s">
        <v>419</v>
      </c>
      <c r="C101" s="29" t="s">
        <v>127</v>
      </c>
      <c r="D101" s="78"/>
      <c r="E101" s="41" t="n">
        <v>0.25</v>
      </c>
      <c r="F101" s="52"/>
      <c r="G101" s="52"/>
      <c r="H101" s="54" t="s">
        <v>420</v>
      </c>
      <c r="I101" s="54"/>
    </row>
    <row r="102" customFormat="false" ht="15" hidden="false" customHeight="true" outlineLevel="0" collapsed="false">
      <c r="A102" s="27" t="s">
        <v>421</v>
      </c>
      <c r="B102" s="28" t="s">
        <v>422</v>
      </c>
      <c r="C102" s="29" t="s">
        <v>127</v>
      </c>
      <c r="D102" s="78"/>
      <c r="E102" s="41" t="n">
        <v>0.1</v>
      </c>
      <c r="F102" s="52"/>
      <c r="G102" s="52"/>
      <c r="H102" s="54" t="s">
        <v>420</v>
      </c>
      <c r="I102" s="54"/>
    </row>
    <row r="103" customFormat="false" ht="15" hidden="false" customHeight="true" outlineLevel="0" collapsed="false">
      <c r="A103" s="27" t="s">
        <v>423</v>
      </c>
      <c r="B103" s="28" t="s">
        <v>424</v>
      </c>
      <c r="C103" s="29" t="s">
        <v>127</v>
      </c>
      <c r="D103" s="78"/>
      <c r="E103" s="41" t="n">
        <v>0.05</v>
      </c>
      <c r="F103" s="52"/>
      <c r="G103" s="52"/>
      <c r="H103" s="54" t="s">
        <v>420</v>
      </c>
      <c r="I103" s="54"/>
    </row>
    <row r="104" customFormat="false" ht="15" hidden="false" customHeight="true" outlineLevel="0" collapsed="false">
      <c r="A104" s="27" t="s">
        <v>425</v>
      </c>
      <c r="B104" s="28" t="s">
        <v>426</v>
      </c>
      <c r="C104" s="29" t="s">
        <v>127</v>
      </c>
      <c r="D104" s="78"/>
      <c r="E104" s="41" t="n">
        <v>0.05</v>
      </c>
      <c r="F104" s="52"/>
      <c r="G104" s="52"/>
      <c r="H104" s="54" t="s">
        <v>420</v>
      </c>
      <c r="I104" s="54"/>
    </row>
    <row r="105" customFormat="false" ht="15" hidden="false" customHeight="true" outlineLevel="0" collapsed="false">
      <c r="A105" s="27" t="s">
        <v>427</v>
      </c>
      <c r="B105" s="28" t="s">
        <v>428</v>
      </c>
      <c r="C105" s="29" t="s">
        <v>163</v>
      </c>
      <c r="D105" s="78"/>
      <c r="E105" s="47" t="n">
        <v>-0.27</v>
      </c>
      <c r="F105" s="52"/>
      <c r="G105" s="52"/>
      <c r="H105" s="54" t="s">
        <v>429</v>
      </c>
      <c r="I105" s="54"/>
    </row>
    <row r="106" customFormat="false" ht="15" hidden="false" customHeight="true" outlineLevel="0" collapsed="false">
      <c r="A106" s="27" t="s">
        <v>430</v>
      </c>
      <c r="B106" s="28" t="s">
        <v>431</v>
      </c>
      <c r="C106" s="29" t="s">
        <v>163</v>
      </c>
      <c r="D106" s="78"/>
      <c r="E106" s="47" t="n">
        <v>0.19</v>
      </c>
      <c r="F106" s="52"/>
      <c r="G106" s="52"/>
      <c r="H106" s="54" t="s">
        <v>432</v>
      </c>
      <c r="I106" s="54"/>
    </row>
    <row r="108" customFormat="false" ht="16.5" hidden="false" customHeight="true" outlineLevel="0" collapsed="false">
      <c r="A108" s="25" t="s">
        <v>433</v>
      </c>
      <c r="B108" s="25"/>
      <c r="C108" s="25"/>
      <c r="D108" s="25"/>
      <c r="E108" s="25"/>
      <c r="F108" s="25"/>
      <c r="G108" s="25"/>
      <c r="H108" s="25"/>
      <c r="I108" s="25"/>
    </row>
  </sheetData>
  <mergeCells count="46">
    <mergeCell ref="A1:I1"/>
    <mergeCell ref="A2:I2"/>
    <mergeCell ref="A3:I3"/>
    <mergeCell ref="A6:I6"/>
    <mergeCell ref="A14:I14"/>
    <mergeCell ref="A20:I20"/>
    <mergeCell ref="A30:I30"/>
    <mergeCell ref="A37:I37"/>
    <mergeCell ref="A44:I44"/>
    <mergeCell ref="A51:I51"/>
    <mergeCell ref="A52:B52"/>
    <mergeCell ref="H52:I52"/>
    <mergeCell ref="A53:B53"/>
    <mergeCell ref="H53:I53"/>
    <mergeCell ref="A54:B54"/>
    <mergeCell ref="H54:I54"/>
    <mergeCell ref="A55:B55"/>
    <mergeCell ref="H55:I55"/>
    <mergeCell ref="A56:B56"/>
    <mergeCell ref="H56:I56"/>
    <mergeCell ref="A57:B57"/>
    <mergeCell ref="H57:I57"/>
    <mergeCell ref="A58:B58"/>
    <mergeCell ref="H58:I58"/>
    <mergeCell ref="A59:B59"/>
    <mergeCell ref="H59:I59"/>
    <mergeCell ref="A60:B60"/>
    <mergeCell ref="H60:I60"/>
    <mergeCell ref="A61:B61"/>
    <mergeCell ref="H61:I61"/>
    <mergeCell ref="A62:B62"/>
    <mergeCell ref="H62:I62"/>
    <mergeCell ref="A64:I64"/>
    <mergeCell ref="A82:R82"/>
    <mergeCell ref="A95:I95"/>
    <mergeCell ref="H97:I97"/>
    <mergeCell ref="H98:I98"/>
    <mergeCell ref="H99:I99"/>
    <mergeCell ref="H100:I100"/>
    <mergeCell ref="H101:I101"/>
    <mergeCell ref="H102:I102"/>
    <mergeCell ref="H103:I103"/>
    <mergeCell ref="H104:I104"/>
    <mergeCell ref="H105:I105"/>
    <mergeCell ref="H106:I106"/>
    <mergeCell ref="A108:I108"/>
  </mergeCells>
  <dataValidations count="38">
    <dataValidation allowBlank="false" error="La valeur saisie sort de la fourchette sourcée de cette variable. Corriger, ou documenter l’écart avant présentation en comité." errorStyle="stop" errorTitle="Valeur hors fourchette documentée" operator="between" prompt="Saisir une valeur comprise entre la fourchette basse et la fourchette haute de la ligne. Hors fourchette, justifier en séance." promptTitle="Fourchette documentée" showDropDown="false" showErrorMessage="true" showInputMessage="true" sqref="E7" type="decimal">
      <formula1>$F$7</formula1>
      <formula2>$G$7</formula2>
    </dataValidation>
    <dataValidation allowBlank="false" error="La valeur saisie sort de la fourchette sourcée de cette variable. Corriger, ou documenter l’écart avant présentation en comité." errorStyle="stop" errorTitle="Valeur hors fourchette documentée" operator="between" prompt="Saisir une valeur comprise entre la fourchette basse et la fourchette haute de la ligne. Hors fourchette, justifier en séance." promptTitle="Fourchette documentée" showDropDown="false" showErrorMessage="true" showInputMessage="true" sqref="E8" type="decimal">
      <formula1>$F$8</formula1>
      <formula2>$G$8</formula2>
    </dataValidation>
    <dataValidation allowBlank="false" error="La valeur saisie sort de la fourchette sourcée de cette variable. Corriger, ou documenter l’écart avant présentation en comité." errorStyle="stop" errorTitle="Valeur hors fourchette documentée" operator="between" prompt="Saisir une valeur comprise entre la fourchette basse et la fourchette haute de la ligne. Hors fourchette, justifier en séance." promptTitle="Fourchette documentée" showDropDown="false" showErrorMessage="true" showInputMessage="true" sqref="E9" type="decimal">
      <formula1>$F$9</formula1>
      <formula2>$G$9</formula2>
    </dataValidation>
    <dataValidation allowBlank="false" error="La valeur saisie sort de la fourchette sourcée de cette variable. Corriger, ou documenter l’écart avant présentation en comité." errorStyle="stop" errorTitle="Valeur hors fourchette documentée" operator="between" prompt="Saisir une valeur comprise entre la fourchette basse et la fourchette haute de la ligne. Hors fourchette, justifier en séance." promptTitle="Fourchette documentée" showDropDown="false" showErrorMessage="true" showInputMessage="true" sqref="E10" type="decimal">
      <formula1>$F$10</formula1>
      <formula2>$G$10</formula2>
    </dataValidation>
    <dataValidation allowBlank="false" error="La valeur saisie sort de la fourchette sourcée de cette variable. Corriger, ou documenter l’écart avant présentation en comité." errorStyle="stop" errorTitle="Valeur hors fourchette documentée" operator="between" prompt="Saisir une valeur comprise entre la fourchette basse et la fourchette haute de la ligne. Hors fourchette, justifier en séance." promptTitle="Fourchette documentée" showDropDown="false" showErrorMessage="true" showInputMessage="true" sqref="E11" type="decimal">
      <formula1>$F$11</formula1>
      <formula2>$G$11</formula2>
    </dataValidation>
    <dataValidation allowBlank="false" error="La valeur saisie sort de la fourchette sourcée de cette variable. Corriger, ou documenter l’écart avant présentation en comité." errorStyle="stop" errorTitle="Valeur hors fourchette documentée" operator="between" prompt="Saisir une valeur comprise entre la fourchette basse et la fourchette haute de la ligne. Hors fourchette, justifier en séance." promptTitle="Fourchette documentée" showDropDown="false" showErrorMessage="true" showInputMessage="true" sqref="E12" type="decimal">
      <formula1>$F$12</formula1>
      <formula2>$G$12</formula2>
    </dataValidation>
    <dataValidation allowBlank="false" error="La valeur saisie sort de la fourchette sourcée de cette variable. Corriger, ou documenter l’écart avant présentation en comité." errorStyle="stop" errorTitle="Valeur hors fourchette documentée" operator="between" prompt="Saisir une valeur comprise entre la fourchette basse et la fourchette haute de la ligne. Hors fourchette, justifier en séance." promptTitle="Fourchette documentée" showDropDown="false" showErrorMessage="true" showInputMessage="true" sqref="E13" type="decimal">
      <formula1>$F$13</formula1>
      <formula2>$G$13</formula2>
    </dataValidation>
    <dataValidation allowBlank="false" error="La valeur saisie sort de la fourchette sourcée de cette variable. Corriger, ou documenter l’écart avant présentation en comité." errorStyle="stop" errorTitle="Valeur hors fourchette documentée" operator="between" prompt="Saisir une valeur comprise entre la fourchette basse et la fourchette haute de la ligne. Hors fourchette, justifier en séance." promptTitle="Fourchette documentée" showDropDown="false" showErrorMessage="true" showInputMessage="true" sqref="E15" type="decimal">
      <formula1>$F$15</formula1>
      <formula2>$G$15</formula2>
    </dataValidation>
    <dataValidation allowBlank="false" error="La valeur saisie sort de la fourchette sourcée de cette variable. Corriger, ou documenter l’écart avant présentation en comité." errorStyle="stop" errorTitle="Valeur hors fourchette documentée" operator="between" prompt="Saisir une valeur comprise entre la fourchette basse et la fourchette haute de la ligne. Hors fourchette, justifier en séance." promptTitle="Fourchette documentée" showDropDown="false" showErrorMessage="true" showInputMessage="true" sqref="E16" type="decimal">
      <formula1>$F$16</formula1>
      <formula2>$G$16</formula2>
    </dataValidation>
    <dataValidation allowBlank="false" error="La valeur saisie sort de la fourchette sourcée de cette variable. Corriger, ou documenter l’écart avant présentation en comité." errorStyle="stop" errorTitle="Valeur hors fourchette documentée" operator="between" prompt="Saisir une valeur comprise entre la fourchette basse et la fourchette haute de la ligne. Hors fourchette, justifier en séance." promptTitle="Fourchette documentée" showDropDown="false" showErrorMessage="true" showInputMessage="true" sqref="E17" type="decimal">
      <formula1>$F$17</formula1>
      <formula2>$G$17</formula2>
    </dataValidation>
    <dataValidation allowBlank="false" error="La valeur saisie sort de la fourchette sourcée de cette variable. Corriger, ou documenter l’écart avant présentation en comité." errorStyle="stop" errorTitle="Valeur hors fourchette documentée" operator="between" prompt="Saisir une valeur comprise entre la fourchette basse et la fourchette haute de la ligne. Hors fourchette, justifier en séance." promptTitle="Fourchette documentée" showDropDown="false" showErrorMessage="true" showInputMessage="true" sqref="E18" type="decimal">
      <formula1>$F$18</formula1>
      <formula2>$G$18</formula2>
    </dataValidation>
    <dataValidation allowBlank="false" error="La valeur saisie sort de la fourchette sourcée de cette variable. Corriger, ou documenter l’écart avant présentation en comité." errorStyle="stop" errorTitle="Valeur hors fourchette documentée" operator="between" prompt="Saisir une valeur comprise entre la fourchette basse et la fourchette haute de la ligne. Hors fourchette, justifier en séance." promptTitle="Fourchette documentée" showDropDown="false" showErrorMessage="true" showInputMessage="true" sqref="E19" type="decimal">
      <formula1>$F$19</formula1>
      <formula2>$G$19</formula2>
    </dataValidation>
    <dataValidation allowBlank="false" error="La valeur saisie sort de la fourchette sourcée de cette variable. Corriger, ou documenter l’écart avant présentation en comité." errorStyle="stop" errorTitle="Valeur hors fourchette documentée" operator="between" prompt="Saisir une valeur comprise entre la fourchette basse et la fourchette haute de la ligne. Hors fourchette, justifier en séance." promptTitle="Fourchette documentée" showDropDown="false" showErrorMessage="true" showInputMessage="true" sqref="E21" type="decimal">
      <formula1>$F$21</formula1>
      <formula2>$G$21</formula2>
    </dataValidation>
    <dataValidation allowBlank="false" error="La valeur saisie sort de la fourchette sourcée de cette variable. Corriger, ou documenter l’écart avant présentation en comité." errorStyle="stop" errorTitle="Valeur hors fourchette documentée" operator="between" prompt="Saisir une valeur comprise entre la fourchette basse et la fourchette haute de la ligne. Hors fourchette, justifier en séance." promptTitle="Fourchette documentée" showDropDown="false" showErrorMessage="true" showInputMessage="true" sqref="E22" type="decimal">
      <formula1>$F$22</formula1>
      <formula2>$G$22</formula2>
    </dataValidation>
    <dataValidation allowBlank="false" error="La valeur saisie sort de la fourchette sourcée de cette variable. Corriger, ou documenter l’écart avant présentation en comité." errorStyle="stop" errorTitle="Valeur hors fourchette documentée" operator="between" prompt="Saisir une valeur comprise entre la fourchette basse et la fourchette haute de la ligne. Hors fourchette, justifier en séance." promptTitle="Fourchette documentée" showDropDown="false" showErrorMessage="true" showInputMessage="true" sqref="E23" type="decimal">
      <formula1>$F$23</formula1>
      <formula2>$G$23</formula2>
    </dataValidation>
    <dataValidation allowBlank="false" error="La valeur saisie sort de la fourchette sourcée de cette variable. Corriger, ou documenter l’écart avant présentation en comité." errorStyle="stop" errorTitle="Valeur hors fourchette documentée" operator="between" prompt="Saisir une valeur comprise entre la fourchette basse et la fourchette haute de la ligne. Hors fourchette, justifier en séance." promptTitle="Fourchette documentée" showDropDown="false" showErrorMessage="true" showInputMessage="true" sqref="E24" type="decimal">
      <formula1>$F$24</formula1>
      <formula2>$G$24</formula2>
    </dataValidation>
    <dataValidation allowBlank="false" error="La valeur saisie sort de la fourchette sourcée de cette variable. Corriger, ou documenter l’écart avant présentation en comité." errorStyle="stop" errorTitle="Valeur hors fourchette documentée" operator="between" prompt="Saisir une valeur comprise entre la fourchette basse et la fourchette haute de la ligne. Hors fourchette, justifier en séance." promptTitle="Fourchette documentée" showDropDown="false" showErrorMessage="true" showInputMessage="true" sqref="E25" type="decimal">
      <formula1>$F$25</formula1>
      <formula2>$G$25</formula2>
    </dataValidation>
    <dataValidation allowBlank="false" error="La valeur saisie sort de la fourchette sourcée de cette variable. Corriger, ou documenter l’écart avant présentation en comité." errorStyle="stop" errorTitle="Valeur hors fourchette documentée" operator="between" prompt="Saisir une valeur comprise entre la fourchette basse et la fourchette haute de la ligne. Hors fourchette, justifier en séance." promptTitle="Fourchette documentée" showDropDown="false" showErrorMessage="true" showInputMessage="true" sqref="E26" type="decimal">
      <formula1>$F$26</formula1>
      <formula2>$G$26</formula2>
    </dataValidation>
    <dataValidation allowBlank="false" error="La valeur saisie sort de la fourchette sourcée de cette variable. Corriger, ou documenter l’écart avant présentation en comité." errorStyle="stop" errorTitle="Valeur hors fourchette documentée" operator="between" prompt="Saisir une valeur comprise entre la fourchette basse et la fourchette haute de la ligne. Hors fourchette, justifier en séance." promptTitle="Fourchette documentée" showDropDown="false" showErrorMessage="true" showInputMessage="true" sqref="E27" type="decimal">
      <formula1>$F$27</formula1>
      <formula2>$G$27</formula2>
    </dataValidation>
    <dataValidation allowBlank="false" error="La valeur saisie sort de la fourchette sourcée de cette variable. Corriger, ou documenter l’écart avant présentation en comité." errorStyle="stop" errorTitle="Valeur hors fourchette documentée" operator="between" prompt="Saisir une valeur comprise entre la fourchette basse et la fourchette haute de la ligne. Hors fourchette, justifier en séance." promptTitle="Fourchette documentée" showDropDown="false" showErrorMessage="true" showInputMessage="true" sqref="E28" type="decimal">
      <formula1>$F$28</formula1>
      <formula2>$G$28</formula2>
    </dataValidation>
    <dataValidation allowBlank="false" error="La valeur saisie sort de la fourchette sourcée de cette variable. Corriger, ou documenter l’écart avant présentation en comité." errorStyle="stop" errorTitle="Valeur hors fourchette documentée" operator="between" prompt="Saisir une valeur comprise entre la fourchette basse et la fourchette haute de la ligne. Hors fourchette, justifier en séance." promptTitle="Fourchette documentée" showDropDown="false" showErrorMessage="true" showInputMessage="true" sqref="E29" type="decimal">
      <formula1>$F$29</formula1>
      <formula2>$G$29</formula2>
    </dataValidation>
    <dataValidation allowBlank="false" error="La valeur saisie sort de la fourchette sourcée de cette variable. Corriger, ou documenter l’écart avant présentation en comité." errorStyle="stop" errorTitle="Valeur hors fourchette documentée" operator="between" prompt="Saisir une valeur comprise entre la fourchette basse et la fourchette haute de la ligne. Hors fourchette, justifier en séance." promptTitle="Fourchette documentée" showDropDown="false" showErrorMessage="true" showInputMessage="true" sqref="E31" type="decimal">
      <formula1>$F$31</formula1>
      <formula2>$G$31</formula2>
    </dataValidation>
    <dataValidation allowBlank="false" error="La valeur saisie sort de la fourchette sourcée de cette variable. Corriger, ou documenter l’écart avant présentation en comité." errorStyle="stop" errorTitle="Valeur hors fourchette documentée" operator="between" prompt="Saisir une valeur comprise entre la fourchette basse et la fourchette haute de la ligne. Hors fourchette, justifier en séance." promptTitle="Fourchette documentée" showDropDown="false" showErrorMessage="true" showInputMessage="true" sqref="E32" type="decimal">
      <formula1>$F$32</formula1>
      <formula2>$G$32</formula2>
    </dataValidation>
    <dataValidation allowBlank="false" error="La valeur saisie sort de la fourchette sourcée de cette variable. Corriger, ou documenter l’écart avant présentation en comité." errorStyle="stop" errorTitle="Valeur hors fourchette documentée" operator="between" prompt="Saisir une valeur comprise entre la fourchette basse et la fourchette haute de la ligne. Hors fourchette, justifier en séance." promptTitle="Fourchette documentée" showDropDown="false" showErrorMessage="true" showInputMessage="true" sqref="E33" type="decimal">
      <formula1>$F$33</formula1>
      <formula2>$G$33</formula2>
    </dataValidation>
    <dataValidation allowBlank="false" error="La valeur saisie sort de la fourchette sourcée de cette variable. Corriger, ou documenter l’écart avant présentation en comité." errorStyle="stop" errorTitle="Valeur hors fourchette documentée" operator="between" prompt="Saisir une valeur comprise entre la fourchette basse et la fourchette haute de la ligne. Hors fourchette, justifier en séance." promptTitle="Fourchette documentée" showDropDown="false" showErrorMessage="true" showInputMessage="true" sqref="E34" type="decimal">
      <formula1>$F$34</formula1>
      <formula2>$G$34</formula2>
    </dataValidation>
    <dataValidation allowBlank="false" error="La valeur saisie sort de la fourchette sourcée de cette variable. Corriger, ou documenter l’écart avant présentation en comité." errorStyle="stop" errorTitle="Valeur hors fourchette documentée" operator="between" prompt="Saisir une valeur comprise entre la fourchette basse et la fourchette haute de la ligne. Hors fourchette, justifier en séance." promptTitle="Fourchette documentée" showDropDown="false" showErrorMessage="true" showInputMessage="true" sqref="E35" type="decimal">
      <formula1>$F$35</formula1>
      <formula2>$G$35</formula2>
    </dataValidation>
    <dataValidation allowBlank="false" error="La valeur saisie sort de la fourchette sourcée de cette variable. Corriger, ou documenter l’écart avant présentation en comité." errorStyle="stop" errorTitle="Valeur hors fourchette documentée" operator="between" prompt="Saisir une valeur comprise entre la fourchette basse et la fourchette haute de la ligne. Hors fourchette, justifier en séance." promptTitle="Fourchette documentée" showDropDown="false" showErrorMessage="true" showInputMessage="true" sqref="E36" type="decimal">
      <formula1>$F$36</formula1>
      <formula2>$G$36</formula2>
    </dataValidation>
    <dataValidation allowBlank="false" error="La valeur saisie sort de la fourchette sourcée de cette variable. Corriger, ou documenter l’écart avant présentation en comité." errorStyle="stop" errorTitle="Valeur hors fourchette documentée" operator="between" prompt="Saisir une valeur comprise entre la fourchette basse et la fourchette haute de la ligne. Hors fourchette, justifier en séance." promptTitle="Fourchette documentée" showDropDown="false" showErrorMessage="true" showInputMessage="true" sqref="E38" type="decimal">
      <formula1>$F$38</formula1>
      <formula2>$G$38</formula2>
    </dataValidation>
    <dataValidation allowBlank="false" error="La valeur saisie sort de la fourchette sourcée de cette variable. Corriger, ou documenter l’écart avant présentation en comité." errorStyle="stop" errorTitle="Valeur hors fourchette documentée" operator="between" prompt="Saisir une valeur comprise entre la fourchette basse et la fourchette haute de la ligne. Hors fourchette, justifier en séance." promptTitle="Fourchette documentée" showDropDown="false" showErrorMessage="true" showInputMessage="true" sqref="E39" type="decimal">
      <formula1>$F$39</formula1>
      <formula2>$G$39</formula2>
    </dataValidation>
    <dataValidation allowBlank="false" error="La valeur saisie sort de la fourchette sourcée de cette variable. Corriger, ou documenter l’écart avant présentation en comité." errorStyle="stop" errorTitle="Valeur hors fourchette documentée" operator="between" prompt="Saisir une valeur comprise entre la fourchette basse et la fourchette haute de la ligne. Hors fourchette, justifier en séance." promptTitle="Fourchette documentée" showDropDown="false" showErrorMessage="true" showInputMessage="true" sqref="E40" type="decimal">
      <formula1>$F$40</formula1>
      <formula2>$G$40</formula2>
    </dataValidation>
    <dataValidation allowBlank="false" error="La valeur saisie sort de la fourchette sourcée de cette variable. Corriger, ou documenter l’écart avant présentation en comité." errorStyle="stop" errorTitle="Valeur hors fourchette documentée" operator="between" prompt="Saisir une valeur comprise entre la fourchette basse et la fourchette haute de la ligne. Hors fourchette, justifier en séance." promptTitle="Fourchette documentée" showDropDown="false" showErrorMessage="true" showInputMessage="true" sqref="E41" type="decimal">
      <formula1>$F$41</formula1>
      <formula2>$G$41</formula2>
    </dataValidation>
    <dataValidation allowBlank="false" error="La valeur saisie sort de la fourchette sourcée de cette variable. Corriger, ou documenter l’écart avant présentation en comité." errorStyle="stop" errorTitle="Valeur hors fourchette documentée" operator="between" prompt="Saisir une valeur comprise entre la fourchette basse et la fourchette haute de la ligne. Hors fourchette, justifier en séance." promptTitle="Fourchette documentée" showDropDown="false" showErrorMessage="true" showInputMessage="true" sqref="E42" type="decimal">
      <formula1>$F$42</formula1>
      <formula2>$G$42</formula2>
    </dataValidation>
    <dataValidation allowBlank="false" error="La valeur saisie sort de la fourchette sourcée de cette variable. Corriger, ou documenter l’écart avant présentation en comité." errorStyle="stop" errorTitle="Valeur hors fourchette documentée" operator="between" prompt="Saisir une valeur comprise entre la fourchette basse et la fourchette haute de la ligne. Hors fourchette, justifier en séance." promptTitle="Fourchette documentée" showDropDown="false" showErrorMessage="true" showInputMessage="true" sqref="E43" type="decimal">
      <formula1>$F$43</formula1>
      <formula2>$G$43</formula2>
    </dataValidation>
    <dataValidation allowBlank="false" error="La valeur saisie sort de la fourchette sourcée de cette variable. Corriger, ou documenter l’écart avant présentation en comité." errorStyle="stop" errorTitle="Valeur hors fourchette documentée" operator="between" prompt="Saisir une valeur comprise entre la fourchette basse et la fourchette haute de la ligne. Hors fourchette, justifier en séance." promptTitle="Fourchette documentée" showDropDown="false" showErrorMessage="true" showInputMessage="true" sqref="E45" type="decimal">
      <formula1>$F$45</formula1>
      <formula2>$G$45</formula2>
    </dataValidation>
    <dataValidation allowBlank="false" error="La valeur saisie sort de la fourchette sourcée de cette variable. Corriger, ou documenter l’écart avant présentation en comité." errorStyle="stop" errorTitle="Valeur hors fourchette documentée" operator="between" prompt="Saisir une valeur comprise entre la fourchette basse et la fourchette haute de la ligne. Hors fourchette, justifier en séance." promptTitle="Fourchette documentée" showDropDown="false" showErrorMessage="true" showInputMessage="true" sqref="E46" type="decimal">
      <formula1>$F$46</formula1>
      <formula2>$G$46</formula2>
    </dataValidation>
    <dataValidation allowBlank="false" error="La valeur saisie sort de la fourchette sourcée de cette variable. Corriger, ou documenter l’écart avant présentation en comité." errorStyle="stop" errorTitle="Valeur hors fourchette documentée" operator="between" prompt="Saisir une valeur comprise entre la fourchette basse et la fourchette haute de la ligne. Hors fourchette, justifier en séance." promptTitle="Fourchette documentée" showDropDown="false" showErrorMessage="true" showInputMessage="true" sqref="E47" type="decimal">
      <formula1>$F$47</formula1>
      <formula2>$G$47</formula2>
    </dataValidation>
    <dataValidation allowBlank="false" error="La valeur saisie sort de la fourchette sourcée de cette variable. Corriger, ou documenter l’écart avant présentation en comité." errorStyle="stop" errorTitle="Valeur hors fourchette documentée" operator="between" prompt="Saisir une valeur comprise entre la fourchette basse et la fourchette haute de la ligne. Hors fourchette, justifier en séance." promptTitle="Fourchette documentée" showDropDown="false" showErrorMessage="true" showInputMessage="true" sqref="E48" type="decimal">
      <formula1>$F$48</formula1>
      <formula2>$G$48</formula2>
    </dataValidation>
    <dataValidation allowBlank="false" error="La valeur saisie sort de la fourchette sourcée de cette variable. Corriger, ou documenter l’écart avant présentation en comité." errorStyle="stop" errorTitle="Valeur hors fourchette documentée" operator="between" prompt="Saisir une valeur comprise entre la fourchette basse et la fourchette haute de la ligne. Hors fourchette, justifier en séance." promptTitle="Fourchette documentée" showDropDown="false" showErrorMessage="true" showInputMessage="true" sqref="E49" type="decimal">
      <formula1>$F$49</formula1>
      <formula2>$G$49</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0205B"/>
    <pageSetUpPr fitToPage="true"/>
  </sheetPr>
  <dimension ref="A1:J8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2" ySplit="6" topLeftCell="C7" activePane="bottomRight" state="frozen"/>
      <selection pane="topLeft" activeCell="A1" activeCellId="0" sqref="A1"/>
      <selection pane="topRight" activeCell="C1" activeCellId="0" sqref="C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1" min="1" style="0" width="58"/>
    <col collapsed="false" customWidth="true" hidden="false" outlineLevel="0" max="2" min="2" style="0" width="11"/>
    <col collapsed="false" customWidth="true" hidden="false" outlineLevel="0" max="7" min="3" style="0" width="15"/>
    <col collapsed="false" customWidth="true" hidden="false" outlineLevel="0" max="8" min="8" style="0" width="17"/>
    <col collapsed="false" customWidth="true" hidden="false" outlineLevel="0" max="9" min="9" style="0" width="12"/>
    <col collapsed="false" customWidth="true" hidden="false" outlineLevel="0" max="10" min="10" style="0" width="70"/>
  </cols>
  <sheetData>
    <row r="1" customFormat="false" ht="30" hidden="false" customHeight="true" outlineLevel="0" collapsed="false">
      <c r="A1" s="1" t="s">
        <v>434</v>
      </c>
      <c r="B1" s="1"/>
      <c r="C1" s="1"/>
      <c r="D1" s="1"/>
      <c r="E1" s="1"/>
      <c r="F1" s="1"/>
      <c r="G1" s="1"/>
      <c r="H1" s="1"/>
      <c r="I1" s="1"/>
      <c r="J1" s="1"/>
    </row>
    <row r="2" customFormat="false" ht="19.5" hidden="false" customHeight="true" outlineLevel="0" collapsed="false">
      <c r="A2" s="2" t="s">
        <v>435</v>
      </c>
      <c r="B2" s="2"/>
      <c r="C2" s="2"/>
      <c r="D2" s="2"/>
      <c r="E2" s="2"/>
      <c r="F2" s="2"/>
      <c r="G2" s="2"/>
      <c r="H2" s="2"/>
      <c r="I2" s="2"/>
      <c r="J2" s="2"/>
    </row>
    <row r="3" customFormat="false" ht="15.75" hidden="false" customHeight="true" outlineLevel="0" collapsed="false">
      <c r="A3" s="3" t="s">
        <v>436</v>
      </c>
      <c r="B3" s="3"/>
      <c r="C3" s="3"/>
      <c r="D3" s="3"/>
      <c r="E3" s="3"/>
      <c r="F3" s="3"/>
      <c r="G3" s="3"/>
      <c r="H3" s="3"/>
      <c r="I3" s="3"/>
      <c r="J3" s="3"/>
    </row>
    <row r="5" customFormat="false" ht="18.75" hidden="false" customHeight="true" outlineLevel="0" collapsed="false">
      <c r="A5" s="4" t="s">
        <v>437</v>
      </c>
      <c r="B5" s="4"/>
      <c r="C5" s="4"/>
      <c r="D5" s="4"/>
      <c r="E5" s="4"/>
      <c r="F5" s="4"/>
      <c r="G5" s="4"/>
      <c r="H5" s="4"/>
      <c r="I5" s="4"/>
      <c r="J5" s="4"/>
    </row>
    <row r="6" customFormat="false" ht="30" hidden="false" customHeight="true" outlineLevel="0" collapsed="false">
      <c r="A6" s="8" t="s">
        <v>438</v>
      </c>
      <c r="B6" s="8" t="s">
        <v>79</v>
      </c>
      <c r="C6" s="8" t="s">
        <v>25</v>
      </c>
      <c r="D6" s="8"/>
      <c r="E6" s="8"/>
      <c r="F6" s="8"/>
      <c r="G6" s="8"/>
      <c r="H6" s="8"/>
      <c r="I6" s="8"/>
      <c r="J6" s="8" t="s">
        <v>439</v>
      </c>
    </row>
    <row r="7" customFormat="false" ht="15" hidden="false" customHeight="false" outlineLevel="0" collapsed="false">
      <c r="A7" s="79" t="s">
        <v>440</v>
      </c>
      <c r="B7" s="80" t="s">
        <v>441</v>
      </c>
      <c r="C7" s="81" t="n">
        <f aca="false">p_V*p_a</f>
        <v>66000</v>
      </c>
      <c r="D7" s="52"/>
      <c r="E7" s="52"/>
      <c r="F7" s="52"/>
      <c r="G7" s="52"/>
      <c r="H7" s="52"/>
      <c r="I7" s="52"/>
      <c r="J7" s="12" t="s">
        <v>442</v>
      </c>
    </row>
    <row r="8" customFormat="false" ht="15" hidden="false" customHeight="false" outlineLevel="0" collapsed="false">
      <c r="A8" s="79" t="s">
        <v>443</v>
      </c>
      <c r="B8" s="80" t="s">
        <v>444</v>
      </c>
      <c r="C8" s="81" t="n">
        <f aca="false">p_V*(1-p_a)</f>
        <v>54000</v>
      </c>
      <c r="D8" s="52"/>
      <c r="E8" s="52"/>
      <c r="F8" s="52"/>
      <c r="G8" s="52"/>
      <c r="H8" s="52"/>
      <c r="I8" s="52"/>
      <c r="J8" s="12" t="s">
        <v>445</v>
      </c>
    </row>
    <row r="9" customFormat="false" ht="15" hidden="false" customHeight="false" outlineLevel="0" collapsed="false">
      <c r="A9" s="79" t="s">
        <v>446</v>
      </c>
      <c r="B9" s="80" t="s">
        <v>447</v>
      </c>
      <c r="C9" s="81" t="n">
        <f aca="false">$C$7*p_e</f>
        <v>13200</v>
      </c>
      <c r="D9" s="52"/>
      <c r="E9" s="52"/>
      <c r="F9" s="52"/>
      <c r="G9" s="52"/>
      <c r="H9" s="52"/>
      <c r="I9" s="52"/>
      <c r="J9" s="12" t="s">
        <v>448</v>
      </c>
    </row>
    <row r="10" customFormat="false" ht="15" hidden="false" customHeight="false" outlineLevel="0" collapsed="false">
      <c r="A10" s="79" t="s">
        <v>449</v>
      </c>
      <c r="B10" s="80" t="s">
        <v>450</v>
      </c>
      <c r="C10" s="81" t="n">
        <f aca="false">$C$7*(1-p_e)</f>
        <v>52800</v>
      </c>
      <c r="D10" s="52"/>
      <c r="E10" s="52"/>
      <c r="F10" s="52"/>
      <c r="G10" s="52"/>
      <c r="H10" s="52"/>
      <c r="I10" s="52"/>
      <c r="J10" s="12" t="s">
        <v>451</v>
      </c>
    </row>
    <row r="11" customFormat="false" ht="15" hidden="false" customHeight="false" outlineLevel="0" collapsed="false">
      <c r="A11" s="79" t="s">
        <v>452</v>
      </c>
      <c r="B11" s="80" t="s">
        <v>453</v>
      </c>
      <c r="C11" s="81" t="n">
        <f aca="false">$C$7*p_sauto</f>
        <v>66000</v>
      </c>
      <c r="D11" s="52"/>
      <c r="E11" s="52"/>
      <c r="F11" s="52"/>
      <c r="G11" s="52"/>
      <c r="H11" s="52"/>
      <c r="I11" s="52"/>
      <c r="J11" s="12" t="s">
        <v>454</v>
      </c>
    </row>
    <row r="12" customFormat="false" ht="15" hidden="false" customHeight="false" outlineLevel="0" collapsed="false">
      <c r="A12" s="79" t="s">
        <v>455</v>
      </c>
      <c r="B12" s="80" t="s">
        <v>456</v>
      </c>
      <c r="C12" s="81" t="n">
        <f aca="false">$C$10*p_s</f>
        <v>1056</v>
      </c>
      <c r="D12" s="52"/>
      <c r="E12" s="52"/>
      <c r="F12" s="52"/>
      <c r="G12" s="52"/>
      <c r="H12" s="52"/>
      <c r="I12" s="52"/>
      <c r="J12" s="12" t="s">
        <v>457</v>
      </c>
    </row>
    <row r="14" customFormat="false" ht="18.75" hidden="false" customHeight="true" outlineLevel="0" collapsed="false">
      <c r="A14" s="4" t="s">
        <v>458</v>
      </c>
      <c r="B14" s="4"/>
      <c r="C14" s="4"/>
      <c r="D14" s="4"/>
      <c r="E14" s="4"/>
      <c r="F14" s="4"/>
      <c r="G14" s="4"/>
      <c r="H14" s="4"/>
      <c r="I14" s="4"/>
      <c r="J14" s="4"/>
    </row>
    <row r="15" customFormat="false" ht="15" hidden="false" customHeight="false" outlineLevel="0" collapsed="false">
      <c r="A15" s="82" t="s">
        <v>459</v>
      </c>
      <c r="B15" s="80" t="s">
        <v>460</v>
      </c>
      <c r="C15" s="57" t="n">
        <f aca="false">p_V*p_t0*p_ch</f>
        <v>5850000</v>
      </c>
      <c r="D15" s="52"/>
      <c r="E15" s="52"/>
      <c r="F15" s="52"/>
      <c r="G15" s="52"/>
      <c r="H15" s="52"/>
      <c r="I15" s="52"/>
      <c r="J15" s="12" t="s">
        <v>461</v>
      </c>
    </row>
    <row r="16" customFormat="false" ht="15" hidden="false" customHeight="false" outlineLevel="0" collapsed="false">
      <c r="A16" s="79" t="s">
        <v>462</v>
      </c>
      <c r="B16" s="80"/>
      <c r="C16" s="83" t="n">
        <f aca="false">$C$7*p_t0*p_ch</f>
        <v>3217500</v>
      </c>
      <c r="D16" s="52"/>
      <c r="E16" s="52"/>
      <c r="F16" s="52"/>
      <c r="G16" s="52"/>
      <c r="H16" s="52"/>
      <c r="I16" s="52"/>
      <c r="J16" s="12" t="s">
        <v>463</v>
      </c>
    </row>
    <row r="17" customFormat="false" ht="15" hidden="false" customHeight="false" outlineLevel="0" collapsed="false">
      <c r="A17" s="79" t="s">
        <v>464</v>
      </c>
      <c r="B17" s="80"/>
      <c r="C17" s="83" t="n">
        <f aca="false">$C$8*p_t0*p_ch</f>
        <v>2632500</v>
      </c>
      <c r="D17" s="52"/>
      <c r="E17" s="52"/>
      <c r="F17" s="52"/>
      <c r="G17" s="52"/>
      <c r="H17" s="52"/>
      <c r="I17" s="52"/>
      <c r="J17" s="12" t="s">
        <v>465</v>
      </c>
    </row>
    <row r="19" customFormat="false" ht="18.75" hidden="false" customHeight="true" outlineLevel="0" collapsed="false">
      <c r="A19" s="4" t="s">
        <v>466</v>
      </c>
      <c r="B19" s="4"/>
      <c r="C19" s="4"/>
      <c r="D19" s="4"/>
      <c r="E19" s="4"/>
      <c r="F19" s="4"/>
      <c r="G19" s="4"/>
      <c r="H19" s="4"/>
      <c r="I19" s="4"/>
      <c r="J19" s="4"/>
    </row>
    <row r="20" customFormat="false" ht="30" hidden="false" customHeight="true" outlineLevel="0" collapsed="false">
      <c r="A20" s="8" t="s">
        <v>467</v>
      </c>
      <c r="B20" s="8" t="s">
        <v>79</v>
      </c>
      <c r="C20" s="8" t="s">
        <v>468</v>
      </c>
      <c r="D20" s="8" t="s">
        <v>469</v>
      </c>
      <c r="E20" s="8" t="s">
        <v>470</v>
      </c>
      <c r="F20" s="8" t="s">
        <v>471</v>
      </c>
      <c r="G20" s="8" t="s">
        <v>472</v>
      </c>
      <c r="H20" s="8" t="s">
        <v>473</v>
      </c>
      <c r="I20" s="8"/>
      <c r="J20" s="8" t="s">
        <v>439</v>
      </c>
    </row>
    <row r="21" customFormat="false" ht="15" hidden="false" customHeight="false" outlineLevel="0" collapsed="false">
      <c r="A21" s="79" t="s">
        <v>474</v>
      </c>
      <c r="B21" s="80" t="s">
        <v>475</v>
      </c>
      <c r="C21" s="81" t="n">
        <f aca="false">COLUMN(C21)-COLUMN($B$21)</f>
        <v>1</v>
      </c>
      <c r="D21" s="81" t="n">
        <f aca="false">COLUMN(D21)-COLUMN($B$21)</f>
        <v>2</v>
      </c>
      <c r="E21" s="81" t="n">
        <f aca="false">COLUMN(E21)-COLUMN($B$21)</f>
        <v>3</v>
      </c>
      <c r="F21" s="81" t="n">
        <f aca="false">COLUMN(F21)-COLUMN($B$21)</f>
        <v>4</v>
      </c>
      <c r="G21" s="81" t="n">
        <f aca="false">COLUMN(G21)-COLUMN($B$21)</f>
        <v>5</v>
      </c>
      <c r="H21" s="52"/>
      <c r="I21" s="52"/>
      <c r="J21" s="12" t="s">
        <v>476</v>
      </c>
    </row>
    <row r="22" customFormat="false" ht="15" hidden="false" customHeight="false" outlineLevel="0" collapsed="false">
      <c r="A22" s="79" t="s">
        <v>477</v>
      </c>
      <c r="B22" s="80"/>
      <c r="C22" s="81" t="n">
        <f aca="false">IF(C$21&lt;=p_horiz,1,0)</f>
        <v>1</v>
      </c>
      <c r="D22" s="81" t="n">
        <f aca="false">IF(D$21&lt;=p_horiz,1,0)</f>
        <v>1</v>
      </c>
      <c r="E22" s="81" t="n">
        <f aca="false">IF(E$21&lt;=p_horiz,1,0)</f>
        <v>1</v>
      </c>
      <c r="F22" s="81" t="n">
        <f aca="false">IF(F$21&lt;=p_horiz,1,0)</f>
        <v>0</v>
      </c>
      <c r="G22" s="81" t="n">
        <f aca="false">IF(G$21&lt;=p_horiz,1,0)</f>
        <v>0</v>
      </c>
      <c r="H22" s="52"/>
      <c r="I22" s="52"/>
      <c r="J22" s="12" t="s">
        <v>478</v>
      </c>
    </row>
    <row r="23" customFormat="false" ht="15" hidden="false" customHeight="false" outlineLevel="0" collapsed="false">
      <c r="A23" s="79" t="s">
        <v>479</v>
      </c>
      <c r="B23" s="80" t="s">
        <v>480</v>
      </c>
      <c r="C23" s="84" t="n">
        <f aca="false">p_cinf*(1+p_g)^(C$21-1)</f>
        <v>1</v>
      </c>
      <c r="D23" s="84" t="n">
        <f aca="false">p_cinf*(1+p_g)^(D$21-1)</f>
        <v>1.5</v>
      </c>
      <c r="E23" s="84" t="n">
        <f aca="false">p_cinf*(1+p_g)^(E$21-1)</f>
        <v>2.25</v>
      </c>
      <c r="F23" s="84" t="n">
        <f aca="false">p_cinf*(1+p_g)^(F$21-1)</f>
        <v>3.375</v>
      </c>
      <c r="G23" s="84" t="n">
        <f aca="false">p_cinf*(1+p_g)^(G$21-1)</f>
        <v>5.0625</v>
      </c>
      <c r="H23" s="52"/>
      <c r="I23" s="52"/>
      <c r="J23" s="12" t="s">
        <v>481</v>
      </c>
    </row>
    <row r="24" customFormat="false" ht="15" hidden="false" customHeight="false" outlineLevel="0" collapsed="false">
      <c r="A24" s="79" t="s">
        <v>482</v>
      </c>
      <c r="B24" s="80"/>
      <c r="C24" s="83" t="n">
        <f aca="false">$C$17*C$22</f>
        <v>2632500</v>
      </c>
      <c r="D24" s="83" t="n">
        <f aca="false">$C$17*D$22</f>
        <v>2632500</v>
      </c>
      <c r="E24" s="83" t="n">
        <f aca="false">$C$17*E$22</f>
        <v>2632500</v>
      </c>
      <c r="F24" s="83" t="n">
        <f aca="false">$C$17*F$22</f>
        <v>0</v>
      </c>
      <c r="G24" s="83" t="n">
        <f aca="false">$C$17*G$22</f>
        <v>0</v>
      </c>
      <c r="H24" s="85" t="n">
        <f aca="false">SUM(C24:G24)</f>
        <v>7897500</v>
      </c>
      <c r="I24" s="52"/>
      <c r="J24" s="12" t="s">
        <v>483</v>
      </c>
    </row>
    <row r="25" customFormat="false" ht="15" hidden="false" customHeight="false" outlineLevel="0" collapsed="false">
      <c r="A25" s="79" t="s">
        <v>484</v>
      </c>
      <c r="B25" s="80"/>
      <c r="C25" s="83" t="n">
        <f aca="false">$C$9*p_te*p_ch*C$22</f>
        <v>772200</v>
      </c>
      <c r="D25" s="83" t="n">
        <f aca="false">$C$9*p_te*p_ch*D$22</f>
        <v>772200</v>
      </c>
      <c r="E25" s="83" t="n">
        <f aca="false">$C$9*p_te*p_ch*E$22</f>
        <v>772200</v>
      </c>
      <c r="F25" s="83" t="n">
        <f aca="false">$C$9*p_te*p_ch*F$22</f>
        <v>0</v>
      </c>
      <c r="G25" s="83" t="n">
        <f aca="false">$C$9*p_te*p_ch*G$22</f>
        <v>0</v>
      </c>
      <c r="H25" s="85" t="n">
        <f aca="false">SUM(C25:G25)</f>
        <v>2316600</v>
      </c>
      <c r="I25" s="52"/>
      <c r="J25" s="12" t="s">
        <v>485</v>
      </c>
    </row>
    <row r="26" customFormat="false" ht="15" hidden="false" customHeight="false" outlineLevel="0" collapsed="false">
      <c r="A26" s="79" t="s">
        <v>486</v>
      </c>
      <c r="B26" s="80"/>
      <c r="C26" s="83" t="n">
        <f aca="false">$C$10*p_t1*p_ch*C$22</f>
        <v>343200</v>
      </c>
      <c r="D26" s="83" t="n">
        <f aca="false">$C$10*p_t1*p_ch*D$22</f>
        <v>343200</v>
      </c>
      <c r="E26" s="83" t="n">
        <f aca="false">$C$10*p_t1*p_ch*E$22</f>
        <v>343200</v>
      </c>
      <c r="F26" s="83" t="n">
        <f aca="false">$C$10*p_t1*p_ch*F$22</f>
        <v>0</v>
      </c>
      <c r="G26" s="83" t="n">
        <f aca="false">$C$10*p_t1*p_ch*G$22</f>
        <v>0</v>
      </c>
      <c r="H26" s="85" t="n">
        <f aca="false">SUM(C26:G26)</f>
        <v>1029600</v>
      </c>
      <c r="I26" s="52"/>
      <c r="J26" s="12" t="s">
        <v>487</v>
      </c>
    </row>
    <row r="27" customFormat="false" ht="15" hidden="false" customHeight="false" outlineLevel="0" collapsed="false">
      <c r="A27" s="79" t="s">
        <v>488</v>
      </c>
      <c r="B27" s="80"/>
      <c r="C27" s="83" t="n">
        <f aca="false">$C$10*p_s*p_ts*p_ch*C$22</f>
        <v>13041.6</v>
      </c>
      <c r="D27" s="83" t="n">
        <f aca="false">$C$10*p_s*p_ts*p_ch*D$22</f>
        <v>13041.6</v>
      </c>
      <c r="E27" s="83" t="n">
        <f aca="false">$C$10*p_s*p_ts*p_ch*E$22</f>
        <v>13041.6</v>
      </c>
      <c r="F27" s="83" t="n">
        <f aca="false">$C$10*p_s*p_ts*p_ch*F$22</f>
        <v>0</v>
      </c>
      <c r="G27" s="83" t="n">
        <f aca="false">$C$10*p_s*p_ts*p_ch*G$22</f>
        <v>0</v>
      </c>
      <c r="H27" s="85" t="n">
        <f aca="false">SUM(C27:G27)</f>
        <v>39124.8</v>
      </c>
      <c r="I27" s="52"/>
      <c r="J27" s="12" t="s">
        <v>489</v>
      </c>
    </row>
    <row r="28" customFormat="false" ht="15" hidden="false" customHeight="false" outlineLevel="0" collapsed="false">
      <c r="A28" s="79" t="s">
        <v>490</v>
      </c>
      <c r="B28" s="80"/>
      <c r="C28" s="83" t="n">
        <f aca="false">$C$11*p_cjuge*C$22</f>
        <v>0</v>
      </c>
      <c r="D28" s="83" t="n">
        <f aca="false">$C$11*p_cjuge*D$22</f>
        <v>0</v>
      </c>
      <c r="E28" s="83" t="n">
        <f aca="false">$C$11*p_cjuge*E$22</f>
        <v>0</v>
      </c>
      <c r="F28" s="83" t="n">
        <f aca="false">$C$11*p_cjuge*F$22</f>
        <v>0</v>
      </c>
      <c r="G28" s="83" t="n">
        <f aca="false">$C$11*p_cjuge*G$22</f>
        <v>0</v>
      </c>
      <c r="H28" s="85" t="n">
        <f aca="false">SUM(C28:G28)</f>
        <v>0</v>
      </c>
      <c r="I28" s="52"/>
      <c r="J28" s="12" t="s">
        <v>491</v>
      </c>
    </row>
    <row r="29" customFormat="false" ht="15" hidden="false" customHeight="false" outlineLevel="0" collapsed="false">
      <c r="A29" s="79" t="s">
        <v>492</v>
      </c>
      <c r="B29" s="80"/>
      <c r="C29" s="83" t="n">
        <f aca="false">$C$7*C23*C$22</f>
        <v>66000</v>
      </c>
      <c r="D29" s="83" t="n">
        <f aca="false">$C$7*D23*D$22</f>
        <v>99000</v>
      </c>
      <c r="E29" s="83" t="n">
        <f aca="false">$C$7*E23*E$22</f>
        <v>148500</v>
      </c>
      <c r="F29" s="83" t="n">
        <f aca="false">$C$7*F23*F$22</f>
        <v>0</v>
      </c>
      <c r="G29" s="83" t="n">
        <f aca="false">$C$7*G23*G$22</f>
        <v>0</v>
      </c>
      <c r="H29" s="85" t="n">
        <f aca="false">SUM(C29:G29)</f>
        <v>313500</v>
      </c>
      <c r="I29" s="52"/>
      <c r="J29" s="12" t="s">
        <v>493</v>
      </c>
    </row>
    <row r="30" customFormat="false" ht="15" hidden="false" customHeight="false" outlineLevel="0" collapsed="false">
      <c r="A30" s="82" t="s">
        <v>494</v>
      </c>
      <c r="B30" s="80" t="s">
        <v>495</v>
      </c>
      <c r="C30" s="85" t="n">
        <f aca="false">SUM(C24:C29)</f>
        <v>3826941.6</v>
      </c>
      <c r="D30" s="85" t="n">
        <f aca="false">SUM(D24:D29)</f>
        <v>3859941.6</v>
      </c>
      <c r="E30" s="85" t="n">
        <f aca="false">SUM(E24:E29)</f>
        <v>3909441.6</v>
      </c>
      <c r="F30" s="85" t="n">
        <f aca="false">SUM(F24:F29)</f>
        <v>0</v>
      </c>
      <c r="G30" s="85" t="n">
        <f aca="false">SUM(G24:G29)</f>
        <v>0</v>
      </c>
      <c r="H30" s="85" t="n">
        <f aca="false">SUM(C30:G30)</f>
        <v>11596324.8</v>
      </c>
      <c r="I30" s="52"/>
      <c r="J30" s="12" t="s">
        <v>496</v>
      </c>
    </row>
    <row r="31" customFormat="false" ht="15" hidden="false" customHeight="false" outlineLevel="0" collapsed="false">
      <c r="A31" s="79" t="s">
        <v>497</v>
      </c>
      <c r="B31" s="80" t="s">
        <v>498</v>
      </c>
      <c r="C31" s="83" t="n">
        <f aca="false">($C$15-C30)*(1-p_delta)*(1-p_d)^(C$21-1)*C$22</f>
        <v>1517293.8</v>
      </c>
      <c r="D31" s="83" t="n">
        <f aca="false">($C$15-D30)*(1-p_delta)*(1-p_d)^(D$21-1)*D$22</f>
        <v>1417916.61</v>
      </c>
      <c r="E31" s="83" t="n">
        <f aca="false">($C$15-E30)*(1-p_delta)*(1-p_d)^(E$21-1)*E$22</f>
        <v>1313515.467</v>
      </c>
      <c r="F31" s="83" t="n">
        <f aca="false">($C$15-F30)*(1-p_delta)*(1-p_d)^(F$21-1)*F$22</f>
        <v>0</v>
      </c>
      <c r="G31" s="83" t="n">
        <f aca="false">($C$15-G30)*(1-p_delta)*(1-p_d)^(G$21-1)*G$22</f>
        <v>0</v>
      </c>
      <c r="H31" s="85" t="n">
        <f aca="false">SUM(C31:G31)</f>
        <v>4248725.877</v>
      </c>
      <c r="I31" s="52"/>
      <c r="J31" s="12" t="s">
        <v>499</v>
      </c>
    </row>
    <row r="32" customFormat="false" ht="15" hidden="false" customHeight="false" outlineLevel="0" collapsed="false">
      <c r="A32" s="79" t="s">
        <v>500</v>
      </c>
      <c r="B32" s="80" t="s">
        <v>501</v>
      </c>
      <c r="C32" s="83" t="n">
        <f aca="false">(p_nEval+p_nGouv)*p_Cetp*C$22+IF(C$21=1,p_Cint+p_Ccc,0)*C$22</f>
        <v>480000</v>
      </c>
      <c r="D32" s="83" t="n">
        <f aca="false">(p_nEval+p_nGouv)*p_Cetp*D$22+IF(D$21=1,p_Cint+p_Ccc,0)*D$22</f>
        <v>270000</v>
      </c>
      <c r="E32" s="83" t="n">
        <f aca="false">(p_nEval+p_nGouv)*p_Cetp*E$22+IF(E$21=1,p_Cint+p_Ccc,0)*E$22</f>
        <v>270000</v>
      </c>
      <c r="F32" s="83" t="n">
        <f aca="false">(p_nEval+p_nGouv)*p_Cetp*F$22+IF(F$21=1,p_Cint+p_Ccc,0)*F$22</f>
        <v>0</v>
      </c>
      <c r="G32" s="83" t="n">
        <f aca="false">(p_nEval+p_nGouv)*p_Cetp*G$22+IF(G$21=1,p_Cint+p_Ccc,0)*G$22</f>
        <v>0</v>
      </c>
      <c r="H32" s="85" t="n">
        <f aca="false">SUM(C32:G32)</f>
        <v>1020000</v>
      </c>
      <c r="I32" s="52"/>
      <c r="J32" s="12" t="s">
        <v>502</v>
      </c>
    </row>
    <row r="33" customFormat="false" ht="15" hidden="false" customHeight="false" outlineLevel="0" collapsed="false">
      <c r="A33" s="79" t="s">
        <v>503</v>
      </c>
      <c r="B33" s="80" t="s">
        <v>504</v>
      </c>
      <c r="C33" s="83" t="n">
        <f aca="false">p_lam*p_Cinc*C$22</f>
        <v>150000</v>
      </c>
      <c r="D33" s="83" t="n">
        <f aca="false">p_lam*p_Cinc*D$22</f>
        <v>150000</v>
      </c>
      <c r="E33" s="83" t="n">
        <f aca="false">p_lam*p_Cinc*E$22</f>
        <v>150000</v>
      </c>
      <c r="F33" s="83" t="n">
        <f aca="false">p_lam*p_Cinc*F$22</f>
        <v>0</v>
      </c>
      <c r="G33" s="83" t="n">
        <f aca="false">p_lam*p_Cinc*G$22</f>
        <v>0</v>
      </c>
      <c r="H33" s="85" t="n">
        <f aca="false">SUM(C33:G33)</f>
        <v>450000</v>
      </c>
      <c r="I33" s="52"/>
      <c r="J33" s="12" t="s">
        <v>505</v>
      </c>
    </row>
    <row r="34" customFormat="false" ht="15" hidden="false" customHeight="false" outlineLevel="0" collapsed="false">
      <c r="A34" s="82" t="s">
        <v>506</v>
      </c>
      <c r="B34" s="80" t="s">
        <v>507</v>
      </c>
      <c r="C34" s="86" t="n">
        <f aca="false">C31-C32-C33</f>
        <v>887293.8</v>
      </c>
      <c r="D34" s="86" t="n">
        <f aca="false">D31-D32-D33</f>
        <v>997916.61</v>
      </c>
      <c r="E34" s="86" t="n">
        <f aca="false">E31-E32-E33</f>
        <v>893515.467</v>
      </c>
      <c r="F34" s="86" t="n">
        <f aca="false">F31-F32-F33</f>
        <v>0</v>
      </c>
      <c r="G34" s="86" t="n">
        <f aca="false">G31-G32-G33</f>
        <v>0</v>
      </c>
      <c r="H34" s="85" t="n">
        <f aca="false">SUM(C34:G34)</f>
        <v>2778725.877</v>
      </c>
      <c r="I34" s="52"/>
      <c r="J34" s="12" t="s">
        <v>508</v>
      </c>
    </row>
    <row r="35" customFormat="false" ht="15" hidden="false" customHeight="false" outlineLevel="0" collapsed="false">
      <c r="A35" s="79" t="s">
        <v>509</v>
      </c>
      <c r="B35" s="78"/>
      <c r="C35" s="83" t="n">
        <f aca="false">C34</f>
        <v>887293.8</v>
      </c>
      <c r="D35" s="83" t="n">
        <f aca="false">C35+D34</f>
        <v>1885210.41</v>
      </c>
      <c r="E35" s="83" t="n">
        <f aca="false">D35+E34</f>
        <v>2778725.877</v>
      </c>
      <c r="F35" s="83" t="n">
        <f aca="false">E35+F34</f>
        <v>2778725.877</v>
      </c>
      <c r="G35" s="83" t="n">
        <f aca="false">F35+G34</f>
        <v>2778725.877</v>
      </c>
      <c r="H35" s="52"/>
      <c r="I35" s="52"/>
      <c r="J35" s="12" t="s">
        <v>510</v>
      </c>
    </row>
    <row r="36" customFormat="false" ht="15" hidden="false" customHeight="false" outlineLevel="0" collapsed="false">
      <c r="A36" s="79" t="s">
        <v>511</v>
      </c>
      <c r="B36" s="80"/>
      <c r="C36" s="87" t="n">
        <f aca="false">1/(1+p_r)^C$21</f>
        <v>0.909090909090909</v>
      </c>
      <c r="D36" s="87" t="n">
        <f aca="false">1/(1+p_r)^D$21</f>
        <v>0.826446280991735</v>
      </c>
      <c r="E36" s="87" t="n">
        <f aca="false">1/(1+p_r)^E$21</f>
        <v>0.751314800901578</v>
      </c>
      <c r="F36" s="87" t="n">
        <f aca="false">1/(1+p_r)^F$21</f>
        <v>0.683013455365071</v>
      </c>
      <c r="G36" s="87" t="n">
        <f aca="false">1/(1+p_r)^G$21</f>
        <v>0.620921323059155</v>
      </c>
      <c r="H36" s="52"/>
      <c r="I36" s="52"/>
      <c r="J36" s="12" t="s">
        <v>512</v>
      </c>
    </row>
    <row r="37" customFormat="false" ht="15" hidden="false" customHeight="false" outlineLevel="0" collapsed="false">
      <c r="A37" s="82" t="s">
        <v>513</v>
      </c>
      <c r="B37" s="80"/>
      <c r="C37" s="57" t="n">
        <f aca="false">C34*C36</f>
        <v>806630.727272728</v>
      </c>
      <c r="D37" s="57" t="n">
        <f aca="false">D34*D36</f>
        <v>824724.47107438</v>
      </c>
      <c r="E37" s="57" t="n">
        <f aca="false">E34*E36</f>
        <v>671311.395191585</v>
      </c>
      <c r="F37" s="57" t="n">
        <f aca="false">F34*F36</f>
        <v>0</v>
      </c>
      <c r="G37" s="57" t="n">
        <f aca="false">G34*G36</f>
        <v>0</v>
      </c>
      <c r="H37" s="85" t="n">
        <f aca="false">SUM(C37:G37)</f>
        <v>2302666.59353869</v>
      </c>
      <c r="I37" s="52"/>
      <c r="J37" s="12" t="s">
        <v>514</v>
      </c>
    </row>
    <row r="38" customFormat="false" ht="15" hidden="false" customHeight="false" outlineLevel="0" collapsed="false">
      <c r="A38" s="79" t="s">
        <v>515</v>
      </c>
      <c r="B38" s="80"/>
      <c r="C38" s="81" t="n">
        <f aca="false">IF(AND(C$22=1,C35&gt;=p_Cint+p_Ccc),1,0)</f>
        <v>1</v>
      </c>
      <c r="D38" s="81" t="n">
        <f aca="false">IF(AND(D$22=1,D35&gt;=p_Cint+p_Ccc),1,0)</f>
        <v>1</v>
      </c>
      <c r="E38" s="81" t="n">
        <f aca="false">IF(AND(E$22=1,E35&gt;=p_Cint+p_Ccc),1,0)</f>
        <v>1</v>
      </c>
      <c r="F38" s="81" t="n">
        <f aca="false">IF(AND(F$22=1,F35&gt;=p_Cint+p_Ccc),1,0)</f>
        <v>0</v>
      </c>
      <c r="G38" s="81" t="n">
        <f aca="false">IF(AND(G$22=1,G35&gt;=p_Cint+p_Ccc),1,0)</f>
        <v>0</v>
      </c>
      <c r="H38" s="52"/>
      <c r="I38" s="52"/>
      <c r="J38" s="12" t="s">
        <v>516</v>
      </c>
    </row>
    <row r="40" customFormat="false" ht="18.75" hidden="false" customHeight="true" outlineLevel="0" collapsed="false">
      <c r="A40" s="4" t="s">
        <v>517</v>
      </c>
      <c r="B40" s="4"/>
      <c r="C40" s="4"/>
      <c r="D40" s="4"/>
      <c r="E40" s="4"/>
      <c r="F40" s="4"/>
      <c r="G40" s="4"/>
      <c r="H40" s="4"/>
      <c r="I40" s="4"/>
      <c r="J40" s="4"/>
    </row>
    <row r="41" customFormat="false" ht="15" hidden="false" customHeight="false" outlineLevel="0" collapsed="false">
      <c r="A41" s="79" t="s">
        <v>518</v>
      </c>
      <c r="B41" s="80" t="s">
        <v>460</v>
      </c>
      <c r="C41" s="83" t="n">
        <f aca="false">$C$15</f>
        <v>5850000</v>
      </c>
      <c r="D41" s="52"/>
      <c r="E41" s="52"/>
      <c r="F41" s="52"/>
      <c r="G41" s="52"/>
      <c r="H41" s="52"/>
      <c r="I41" s="52"/>
      <c r="J41" s="12" t="s">
        <v>519</v>
      </c>
    </row>
    <row r="42" customFormat="false" ht="15" hidden="false" customHeight="false" outlineLevel="0" collapsed="false">
      <c r="A42" s="79" t="s">
        <v>520</v>
      </c>
      <c r="B42" s="80" t="s">
        <v>521</v>
      </c>
      <c r="C42" s="83" t="n">
        <f aca="false">$C$30</f>
        <v>3826941.6</v>
      </c>
      <c r="D42" s="52"/>
      <c r="E42" s="52"/>
      <c r="F42" s="52"/>
      <c r="G42" s="52"/>
      <c r="H42" s="52"/>
      <c r="I42" s="52"/>
      <c r="J42" s="12" t="s">
        <v>522</v>
      </c>
    </row>
    <row r="43" customFormat="false" ht="15" hidden="false" customHeight="false" outlineLevel="0" collapsed="false">
      <c r="A43" s="79" t="s">
        <v>523</v>
      </c>
      <c r="B43" s="80"/>
      <c r="C43" s="83" t="n">
        <f aca="false">$C$41-$C$42</f>
        <v>2023058.4</v>
      </c>
      <c r="D43" s="52"/>
      <c r="E43" s="52"/>
      <c r="F43" s="52"/>
      <c r="G43" s="52"/>
      <c r="H43" s="52"/>
      <c r="I43" s="52"/>
      <c r="J43" s="12" t="s">
        <v>524</v>
      </c>
    </row>
    <row r="44" customFormat="false" ht="15" hidden="false" customHeight="false" outlineLevel="0" collapsed="false">
      <c r="A44" s="79" t="s">
        <v>525</v>
      </c>
      <c r="B44" s="80" t="s">
        <v>526</v>
      </c>
      <c r="C44" s="83" t="n">
        <f aca="false">-$C$43*p_delta</f>
        <v>-505764.6</v>
      </c>
      <c r="D44" s="52"/>
      <c r="E44" s="52"/>
      <c r="F44" s="52"/>
      <c r="G44" s="52"/>
      <c r="H44" s="52"/>
      <c r="I44" s="52"/>
      <c r="J44" s="12" t="s">
        <v>527</v>
      </c>
    </row>
    <row r="45" customFormat="false" ht="15" hidden="false" customHeight="false" outlineLevel="0" collapsed="false">
      <c r="A45" s="82" t="s">
        <v>528</v>
      </c>
      <c r="B45" s="80" t="s">
        <v>529</v>
      </c>
      <c r="C45" s="86" t="n">
        <f aca="false">$C$31</f>
        <v>1517293.8</v>
      </c>
      <c r="D45" s="52"/>
      <c r="E45" s="52"/>
      <c r="F45" s="52"/>
      <c r="G45" s="52"/>
      <c r="H45" s="52"/>
      <c r="I45" s="52"/>
      <c r="J45" s="12" t="s">
        <v>530</v>
      </c>
    </row>
    <row r="46" customFormat="false" ht="19.4" hidden="false" customHeight="false" outlineLevel="0" collapsed="false">
      <c r="A46" s="79" t="s">
        <v>531</v>
      </c>
      <c r="B46" s="80" t="s">
        <v>532</v>
      </c>
      <c r="C46" s="84" t="n">
        <f aca="false">p_t0*p_ch-p_e*p_te*p_ch-(1-p_e)*p_t1*p_ch-(1-p_e)*p_s*p_ts*p_ch-p_cinf-p_sauto*p_cjuge</f>
        <v>30.6524</v>
      </c>
      <c r="D46" s="52"/>
      <c r="E46" s="52"/>
      <c r="F46" s="52"/>
      <c r="G46" s="52"/>
      <c r="H46" s="52"/>
      <c r="I46" s="52"/>
      <c r="J46" s="12" t="s">
        <v>533</v>
      </c>
    </row>
    <row r="47" customFormat="false" ht="15" hidden="false" customHeight="false" outlineLevel="0" collapsed="false">
      <c r="A47" s="79" t="s">
        <v>534</v>
      </c>
      <c r="B47" s="80" t="s">
        <v>535</v>
      </c>
      <c r="C47" s="88" t="n">
        <f aca="false">IF(p_V*$C$46*(1-p_delta)=0,"",($C$32+$C$33)/(p_V*$C$46*(1-p_delta)))</f>
        <v>0.228367109916352</v>
      </c>
      <c r="D47" s="52"/>
      <c r="E47" s="52"/>
      <c r="F47" s="52"/>
      <c r="G47" s="52"/>
      <c r="H47" s="52"/>
      <c r="I47" s="52"/>
      <c r="J47" s="12" t="s">
        <v>536</v>
      </c>
    </row>
    <row r="48" customFormat="false" ht="19.4" hidden="false" customHeight="false" outlineLevel="0" collapsed="false">
      <c r="A48" s="79" t="s">
        <v>537</v>
      </c>
      <c r="B48" s="80" t="s">
        <v>538</v>
      </c>
      <c r="C48" s="88" t="n">
        <f aca="false">IF((-p_te*p_ch+p_t1*p_ch+p_s*p_ts*p_ch)=0,"",((($C$32+$C$33)/(p_V*p_a*(1-p_delta)))-(p_t0*p_ch-p_t1*p_ch-p_s*p_ts*p_ch-p_cinf-p_sauto*p_cjuge))/(-p_te*p_ch+p_t1*p_ch+p_s*p_ts*p_ch))</f>
        <v>0.546359192176826</v>
      </c>
      <c r="D48" s="52"/>
      <c r="E48" s="52"/>
      <c r="F48" s="52"/>
      <c r="G48" s="52"/>
      <c r="H48" s="52"/>
      <c r="I48" s="52"/>
      <c r="J48" s="12" t="s">
        <v>539</v>
      </c>
    </row>
    <row r="50" customFormat="false" ht="18.75" hidden="false" customHeight="true" outlineLevel="0" collapsed="false">
      <c r="A50" s="4" t="s">
        <v>540</v>
      </c>
      <c r="B50" s="4"/>
      <c r="C50" s="4"/>
      <c r="D50" s="4"/>
      <c r="E50" s="4"/>
      <c r="F50" s="4"/>
      <c r="G50" s="4"/>
      <c r="H50" s="4"/>
      <c r="I50" s="4"/>
      <c r="J50" s="4"/>
    </row>
    <row r="51" customFormat="false" ht="15" hidden="false" customHeight="false" outlineLevel="0" collapsed="false">
      <c r="A51" s="79" t="s">
        <v>541</v>
      </c>
      <c r="B51" s="80"/>
      <c r="C51" s="81" t="n">
        <f aca="false">p_V*p_t0</f>
        <v>90000</v>
      </c>
      <c r="D51" s="52"/>
      <c r="E51" s="52"/>
      <c r="F51" s="52"/>
      <c r="G51" s="52"/>
      <c r="H51" s="52"/>
      <c r="I51" s="52"/>
      <c r="J51" s="12" t="s">
        <v>542</v>
      </c>
    </row>
    <row r="52" customFormat="false" ht="15" hidden="false" customHeight="false" outlineLevel="0" collapsed="false">
      <c r="A52" s="79" t="s">
        <v>543</v>
      </c>
      <c r="B52" s="80"/>
      <c r="C52" s="81" t="n">
        <f aca="false">$C$8*p_t0+$C$9*p_te+$C$10*p_t1+$C$10*p_s*p_ts</f>
        <v>57860.64</v>
      </c>
      <c r="D52" s="52"/>
      <c r="E52" s="52"/>
      <c r="F52" s="52"/>
      <c r="G52" s="52"/>
      <c r="H52" s="52"/>
      <c r="I52" s="52"/>
      <c r="J52" s="12" t="s">
        <v>544</v>
      </c>
    </row>
    <row r="53" customFormat="false" ht="15" hidden="false" customHeight="false" outlineLevel="0" collapsed="false">
      <c r="A53" s="82" t="s">
        <v>545</v>
      </c>
      <c r="B53" s="80"/>
      <c r="C53" s="53" t="n">
        <f aca="false">$C$51-$C$52</f>
        <v>32139.36</v>
      </c>
      <c r="D53" s="52"/>
      <c r="E53" s="52"/>
      <c r="F53" s="52"/>
      <c r="G53" s="52"/>
      <c r="H53" s="52"/>
      <c r="I53" s="52"/>
      <c r="J53" s="12" t="s">
        <v>546</v>
      </c>
    </row>
    <row r="54" customFormat="false" ht="15" hidden="false" customHeight="false" outlineLevel="0" collapsed="false">
      <c r="A54" s="79" t="s">
        <v>547</v>
      </c>
      <c r="B54" s="80"/>
      <c r="C54" s="89" t="n">
        <f aca="false">p_t0</f>
        <v>0.75</v>
      </c>
      <c r="D54" s="52"/>
      <c r="E54" s="52"/>
      <c r="F54" s="52"/>
      <c r="G54" s="52"/>
      <c r="H54" s="52"/>
      <c r="I54" s="52"/>
      <c r="J54" s="12" t="s">
        <v>95</v>
      </c>
    </row>
    <row r="55" customFormat="false" ht="15" hidden="false" customHeight="false" outlineLevel="0" collapsed="false">
      <c r="A55" s="79" t="s">
        <v>548</v>
      </c>
      <c r="B55" s="80"/>
      <c r="C55" s="89" t="n">
        <f aca="false">IF(p_V=0,"",$C$52/p_V)</f>
        <v>0.482172</v>
      </c>
      <c r="D55" s="52"/>
      <c r="E55" s="52"/>
      <c r="F55" s="52"/>
      <c r="G55" s="52"/>
      <c r="H55" s="52"/>
      <c r="I55" s="52"/>
      <c r="J55" s="12" t="s">
        <v>549</v>
      </c>
    </row>
    <row r="56" customFormat="false" ht="15" hidden="false" customHeight="false" outlineLevel="0" collapsed="false">
      <c r="A56" s="79" t="s">
        <v>550</v>
      </c>
      <c r="B56" s="80"/>
      <c r="C56" s="90" t="n">
        <f aca="false">IF($C$55=0,"",$C$54/$C$55)</f>
        <v>1.55546153654712</v>
      </c>
      <c r="D56" s="52"/>
      <c r="E56" s="52"/>
      <c r="F56" s="52"/>
      <c r="G56" s="52"/>
      <c r="H56" s="52"/>
      <c r="I56" s="52"/>
      <c r="J56" s="12" t="s">
        <v>551</v>
      </c>
    </row>
    <row r="57" customFormat="false" ht="19.4" hidden="false" customHeight="false" outlineLevel="0" collapsed="false">
      <c r="A57" s="79" t="s">
        <v>552</v>
      </c>
      <c r="B57" s="80"/>
      <c r="C57" s="90" t="n">
        <f aca="false">IF(p_t1=0,"",p_t0/p_t1)</f>
        <v>7.5</v>
      </c>
      <c r="D57" s="52"/>
      <c r="E57" s="52"/>
      <c r="F57" s="52"/>
      <c r="G57" s="52"/>
      <c r="H57" s="52"/>
      <c r="I57" s="52"/>
      <c r="J57" s="12" t="s">
        <v>553</v>
      </c>
    </row>
    <row r="58" customFormat="false" ht="15" hidden="false" customHeight="false" outlineLevel="0" collapsed="false">
      <c r="A58" s="82" t="s">
        <v>554</v>
      </c>
      <c r="B58" s="80" t="s">
        <v>190</v>
      </c>
      <c r="C58" s="91" t="n">
        <f aca="false">IF(p_H=0,"",$C$53/p_H)</f>
        <v>19.9996017423771</v>
      </c>
      <c r="D58" s="52"/>
      <c r="E58" s="52"/>
      <c r="F58" s="52"/>
      <c r="G58" s="52"/>
      <c r="H58" s="52"/>
      <c r="I58" s="52"/>
      <c r="J58" s="12" t="s">
        <v>555</v>
      </c>
    </row>
    <row r="59" customFormat="false" ht="27.75" hidden="false" customHeight="true" outlineLevel="0" collapsed="false">
      <c r="A59" s="25" t="s">
        <v>556</v>
      </c>
      <c r="B59" s="25"/>
      <c r="C59" s="25"/>
      <c r="D59" s="25"/>
      <c r="E59" s="25"/>
      <c r="F59" s="25"/>
      <c r="G59" s="25"/>
      <c r="H59" s="25"/>
      <c r="I59" s="25"/>
      <c r="J59" s="25"/>
    </row>
    <row r="61" customFormat="false" ht="18.75" hidden="false" customHeight="true" outlineLevel="0" collapsed="false">
      <c r="A61" s="4" t="s">
        <v>557</v>
      </c>
      <c r="B61" s="4"/>
      <c r="C61" s="4"/>
      <c r="D61" s="4"/>
      <c r="E61" s="4"/>
      <c r="F61" s="4"/>
      <c r="G61" s="4"/>
      <c r="H61" s="4"/>
      <c r="I61" s="4"/>
      <c r="J61" s="4"/>
    </row>
    <row r="62" customFormat="false" ht="30" hidden="false" customHeight="true" outlineLevel="0" collapsed="false">
      <c r="A62" s="8" t="s">
        <v>558</v>
      </c>
      <c r="B62" s="8" t="s">
        <v>559</v>
      </c>
      <c r="C62" s="8" t="s">
        <v>468</v>
      </c>
      <c r="D62" s="8" t="s">
        <v>469</v>
      </c>
      <c r="E62" s="8" t="s">
        <v>470</v>
      </c>
      <c r="F62" s="8" t="s">
        <v>471</v>
      </c>
      <c r="G62" s="8" t="s">
        <v>472</v>
      </c>
      <c r="H62" s="8" t="s">
        <v>560</v>
      </c>
      <c r="I62" s="8" t="s">
        <v>561</v>
      </c>
      <c r="J62" s="8" t="s">
        <v>562</v>
      </c>
    </row>
    <row r="63" customFormat="false" ht="15" hidden="false" customHeight="false" outlineLevel="0" collapsed="false">
      <c r="A63" s="79" t="s">
        <v>563</v>
      </c>
      <c r="B63" s="92" t="s">
        <v>564</v>
      </c>
      <c r="C63" s="83" t="n">
        <f aca="false">$C$9*p_te*p_ch*C$22</f>
        <v>772200</v>
      </c>
      <c r="D63" s="83" t="n">
        <f aca="false">$C$9*p_te*p_ch*D$22</f>
        <v>772200</v>
      </c>
      <c r="E63" s="83" t="n">
        <f aca="false">$C$9*p_te*p_ch*E$22</f>
        <v>772200</v>
      </c>
      <c r="F63" s="83" t="n">
        <f aca="false">$C$9*p_te*p_ch*F$22</f>
        <v>0</v>
      </c>
      <c r="G63" s="83" t="n">
        <f aca="false">$C$9*p_te*p_ch*G$22</f>
        <v>0</v>
      </c>
      <c r="H63" s="85" t="n">
        <f aca="false">SUM(C63:G63)</f>
        <v>2316600</v>
      </c>
      <c r="I63" s="42" t="n">
        <f aca="false">IF($C$73=0,"",C63/$C$73)</f>
        <v>0.423252791429443</v>
      </c>
      <c r="J63" s="12" t="s">
        <v>565</v>
      </c>
    </row>
    <row r="64" customFormat="false" ht="15" hidden="false" customHeight="false" outlineLevel="0" collapsed="false">
      <c r="A64" s="79" t="s">
        <v>566</v>
      </c>
      <c r="B64" s="92" t="s">
        <v>564</v>
      </c>
      <c r="C64" s="83" t="n">
        <f aca="false">$C$10*p_t1*p_ch*C$22</f>
        <v>343200</v>
      </c>
      <c r="D64" s="83" t="n">
        <f aca="false">$C$10*p_t1*p_ch*D$22</f>
        <v>343200</v>
      </c>
      <c r="E64" s="83" t="n">
        <f aca="false">$C$10*p_t1*p_ch*E$22</f>
        <v>343200</v>
      </c>
      <c r="F64" s="83" t="n">
        <f aca="false">$C$10*p_t1*p_ch*F$22</f>
        <v>0</v>
      </c>
      <c r="G64" s="83" t="n">
        <f aca="false">$C$10*p_t1*p_ch*G$22</f>
        <v>0</v>
      </c>
      <c r="H64" s="85" t="n">
        <f aca="false">SUM(C64:G64)</f>
        <v>1029600</v>
      </c>
      <c r="I64" s="42" t="n">
        <f aca="false">IF($C$73=0,"",C64/$C$73)</f>
        <v>0.188112351746419</v>
      </c>
      <c r="J64" s="12" t="s">
        <v>567</v>
      </c>
    </row>
    <row r="65" customFormat="false" ht="15" hidden="false" customHeight="false" outlineLevel="0" collapsed="false">
      <c r="A65" s="79" t="s">
        <v>568</v>
      </c>
      <c r="B65" s="92" t="s">
        <v>564</v>
      </c>
      <c r="C65" s="83" t="n">
        <f aca="false">$C$10*p_s*p_ts*p_ch*C$22</f>
        <v>13041.6</v>
      </c>
      <c r="D65" s="83" t="n">
        <f aca="false">$C$10*p_s*p_ts*p_ch*D$22</f>
        <v>13041.6</v>
      </c>
      <c r="E65" s="83" t="n">
        <f aca="false">$C$10*p_s*p_ts*p_ch*E$22</f>
        <v>13041.6</v>
      </c>
      <c r="F65" s="83" t="n">
        <f aca="false">$C$10*p_s*p_ts*p_ch*F$22</f>
        <v>0</v>
      </c>
      <c r="G65" s="83" t="n">
        <f aca="false">$C$10*p_s*p_ts*p_ch*G$22</f>
        <v>0</v>
      </c>
      <c r="H65" s="85" t="n">
        <f aca="false">SUM(C65:G65)</f>
        <v>39124.8</v>
      </c>
      <c r="I65" s="42" t="n">
        <f aca="false">IF($C$73=0,"",C65/$C$73)</f>
        <v>0.00714826936636393</v>
      </c>
      <c r="J65" s="12" t="s">
        <v>569</v>
      </c>
    </row>
    <row r="66" customFormat="false" ht="15" hidden="false" customHeight="false" outlineLevel="0" collapsed="false">
      <c r="A66" s="79" t="s">
        <v>570</v>
      </c>
      <c r="B66" s="92" t="s">
        <v>564</v>
      </c>
      <c r="C66" s="83" t="n">
        <f aca="false">p_nEval*p_Cetp*C$22</f>
        <v>180000</v>
      </c>
      <c r="D66" s="83" t="n">
        <f aca="false">p_nEval*p_Cetp*D$22</f>
        <v>180000</v>
      </c>
      <c r="E66" s="83" t="n">
        <f aca="false">p_nEval*p_Cetp*E$22</f>
        <v>180000</v>
      </c>
      <c r="F66" s="83" t="n">
        <f aca="false">p_nEval*p_Cetp*F$22</f>
        <v>0</v>
      </c>
      <c r="G66" s="83" t="n">
        <f aca="false">p_nEval*p_Cetp*G$22</f>
        <v>0</v>
      </c>
      <c r="H66" s="85" t="n">
        <f aca="false">SUM(C66:G66)</f>
        <v>540000</v>
      </c>
      <c r="I66" s="42" t="n">
        <f aca="false">IF($C$73=0,"",C66/$C$73)</f>
        <v>0.0986603243425276</v>
      </c>
      <c r="J66" s="12" t="s">
        <v>571</v>
      </c>
    </row>
    <row r="67" customFormat="false" ht="15" hidden="false" customHeight="false" outlineLevel="0" collapsed="false">
      <c r="A67" s="79" t="s">
        <v>572</v>
      </c>
      <c r="B67" s="92" t="s">
        <v>564</v>
      </c>
      <c r="C67" s="83" t="n">
        <f aca="false">p_nGouv*p_Cetp*C$22</f>
        <v>90000</v>
      </c>
      <c r="D67" s="83" t="n">
        <f aca="false">p_nGouv*p_Cetp*D$22</f>
        <v>90000</v>
      </c>
      <c r="E67" s="83" t="n">
        <f aca="false">p_nGouv*p_Cetp*E$22</f>
        <v>90000</v>
      </c>
      <c r="F67" s="83" t="n">
        <f aca="false">p_nGouv*p_Cetp*F$22</f>
        <v>0</v>
      </c>
      <c r="G67" s="83" t="n">
        <f aca="false">p_nGouv*p_Cetp*G$22</f>
        <v>0</v>
      </c>
      <c r="H67" s="85" t="n">
        <f aca="false">SUM(C67:G67)</f>
        <v>270000</v>
      </c>
      <c r="I67" s="42" t="n">
        <f aca="false">IF($C$73=0,"",C67/$C$73)</f>
        <v>0.0493301621712638</v>
      </c>
      <c r="J67" s="12" t="s">
        <v>573</v>
      </c>
    </row>
    <row r="68" customFormat="false" ht="15" hidden="false" customHeight="false" outlineLevel="0" collapsed="false">
      <c r="A68" s="79" t="s">
        <v>574</v>
      </c>
      <c r="B68" s="92" t="s">
        <v>564</v>
      </c>
      <c r="C68" s="83" t="n">
        <f aca="false">p_lam*p_Cinc*C$22</f>
        <v>150000</v>
      </c>
      <c r="D68" s="83" t="n">
        <f aca="false">p_lam*p_Cinc*D$22</f>
        <v>150000</v>
      </c>
      <c r="E68" s="83" t="n">
        <f aca="false">p_lam*p_Cinc*E$22</f>
        <v>150000</v>
      </c>
      <c r="F68" s="83" t="n">
        <f aca="false">p_lam*p_Cinc*F$22</f>
        <v>0</v>
      </c>
      <c r="G68" s="83" t="n">
        <f aca="false">p_lam*p_Cinc*G$22</f>
        <v>0</v>
      </c>
      <c r="H68" s="85" t="n">
        <f aca="false">SUM(C68:G68)</f>
        <v>450000</v>
      </c>
      <c r="I68" s="42" t="n">
        <f aca="false">IF($C$73=0,"",C68/$C$73)</f>
        <v>0.0822169369521063</v>
      </c>
      <c r="J68" s="12" t="s">
        <v>575</v>
      </c>
    </row>
    <row r="69" customFormat="false" ht="15" hidden="false" customHeight="false" outlineLevel="0" collapsed="false">
      <c r="A69" s="79" t="s">
        <v>576</v>
      </c>
      <c r="B69" s="92" t="s">
        <v>577</v>
      </c>
      <c r="C69" s="83" t="n">
        <f aca="false">$C$7*C23*C$22</f>
        <v>66000</v>
      </c>
      <c r="D69" s="83" t="n">
        <f aca="false">$C$7*D23*D$22</f>
        <v>99000</v>
      </c>
      <c r="E69" s="83" t="n">
        <f aca="false">$C$7*E23*E$22</f>
        <v>148500</v>
      </c>
      <c r="F69" s="83" t="n">
        <f aca="false">$C$7*F23*F$22</f>
        <v>0</v>
      </c>
      <c r="G69" s="83" t="n">
        <f aca="false">$C$7*G23*G$22</f>
        <v>0</v>
      </c>
      <c r="H69" s="85" t="n">
        <f aca="false">SUM(C69:G69)</f>
        <v>313500</v>
      </c>
      <c r="I69" s="42" t="n">
        <f aca="false">IF($C$73=0,"",C69/$C$73)</f>
        <v>0.0361754522589268</v>
      </c>
      <c r="J69" s="12" t="s">
        <v>578</v>
      </c>
    </row>
    <row r="70" customFormat="false" ht="15" hidden="false" customHeight="false" outlineLevel="0" collapsed="false">
      <c r="A70" s="79" t="s">
        <v>579</v>
      </c>
      <c r="B70" s="92" t="s">
        <v>564</v>
      </c>
      <c r="C70" s="83" t="n">
        <f aca="false">$C$11*p_cjuge*C$22</f>
        <v>0</v>
      </c>
      <c r="D70" s="83" t="n">
        <f aca="false">$C$11*p_cjuge*D$22</f>
        <v>0</v>
      </c>
      <c r="E70" s="83" t="n">
        <f aca="false">$C$11*p_cjuge*E$22</f>
        <v>0</v>
      </c>
      <c r="F70" s="83" t="n">
        <f aca="false">$C$11*p_cjuge*F$22</f>
        <v>0</v>
      </c>
      <c r="G70" s="83" t="n">
        <f aca="false">$C$11*p_cjuge*G$22</f>
        <v>0</v>
      </c>
      <c r="H70" s="85" t="n">
        <f aca="false">SUM(C70:G70)</f>
        <v>0</v>
      </c>
      <c r="I70" s="42" t="n">
        <f aca="false">IF($C$73=0,"",C70/$C$73)</f>
        <v>0</v>
      </c>
      <c r="J70" s="12" t="s">
        <v>580</v>
      </c>
    </row>
    <row r="71" customFormat="false" ht="15" hidden="false" customHeight="false" outlineLevel="0" collapsed="false">
      <c r="A71" s="79" t="s">
        <v>581</v>
      </c>
      <c r="B71" s="92" t="s">
        <v>582</v>
      </c>
      <c r="C71" s="83" t="n">
        <f aca="false">IF(C$21=1,p_Cint,0)*C$22</f>
        <v>150000</v>
      </c>
      <c r="D71" s="83" t="n">
        <f aca="false">IF(D$21=1,p_Cint,0)*D$22</f>
        <v>0</v>
      </c>
      <c r="E71" s="83" t="n">
        <f aca="false">IF(E$21=1,p_Cint,0)*E$22</f>
        <v>0</v>
      </c>
      <c r="F71" s="83" t="n">
        <f aca="false">IF(F$21=1,p_Cint,0)*F$22</f>
        <v>0</v>
      </c>
      <c r="G71" s="83" t="n">
        <f aca="false">IF(G$21=1,p_Cint,0)*G$22</f>
        <v>0</v>
      </c>
      <c r="H71" s="85" t="n">
        <f aca="false">SUM(C71:G71)</f>
        <v>150000</v>
      </c>
      <c r="I71" s="42" t="n">
        <f aca="false">IF($C$73=0,"",C71/$C$73)</f>
        <v>0.0822169369521063</v>
      </c>
      <c r="J71" s="12" t="s">
        <v>583</v>
      </c>
    </row>
    <row r="72" customFormat="false" ht="15" hidden="false" customHeight="false" outlineLevel="0" collapsed="false">
      <c r="A72" s="79" t="s">
        <v>584</v>
      </c>
      <c r="B72" s="92" t="s">
        <v>582</v>
      </c>
      <c r="C72" s="83" t="n">
        <f aca="false">IF(C$21=1,p_Ccc,0)*C$22</f>
        <v>60000</v>
      </c>
      <c r="D72" s="83" t="n">
        <f aca="false">IF(D$21=1,p_Ccc,0)*D$22</f>
        <v>0</v>
      </c>
      <c r="E72" s="83" t="n">
        <f aca="false">IF(E$21=1,p_Ccc,0)*E$22</f>
        <v>0</v>
      </c>
      <c r="F72" s="83" t="n">
        <f aca="false">IF(F$21=1,p_Ccc,0)*F$22</f>
        <v>0</v>
      </c>
      <c r="G72" s="83" t="n">
        <f aca="false">IF(G$21=1,p_Ccc,0)*G$22</f>
        <v>0</v>
      </c>
      <c r="H72" s="85" t="n">
        <f aca="false">SUM(C72:G72)</f>
        <v>60000</v>
      </c>
      <c r="I72" s="42" t="n">
        <f aca="false">IF($C$73=0,"",C72/$C$73)</f>
        <v>0.0328867747808425</v>
      </c>
      <c r="J72" s="12" t="s">
        <v>585</v>
      </c>
    </row>
    <row r="73" customFormat="false" ht="15" hidden="false" customHeight="false" outlineLevel="0" collapsed="false">
      <c r="A73" s="93" t="s">
        <v>586</v>
      </c>
      <c r="B73" s="78"/>
      <c r="C73" s="86" t="n">
        <f aca="false">SUM(C63:C72)</f>
        <v>1824441.6</v>
      </c>
      <c r="D73" s="86" t="n">
        <f aca="false">SUM(D63:D72)</f>
        <v>1647441.6</v>
      </c>
      <c r="E73" s="86" t="n">
        <f aca="false">SUM(E63:E72)</f>
        <v>1696941.6</v>
      </c>
      <c r="F73" s="86" t="n">
        <f aca="false">SUM(F63:F72)</f>
        <v>0</v>
      </c>
      <c r="G73" s="86" t="n">
        <f aca="false">SUM(G63:G72)</f>
        <v>0</v>
      </c>
      <c r="H73" s="86" t="n">
        <f aca="false">SUM(H63:H72)</f>
        <v>5168824.8</v>
      </c>
      <c r="I73" s="94" t="n">
        <f aca="false">IF($C$73=0,"",C73/$C$73)</f>
        <v>1</v>
      </c>
      <c r="J73" s="12" t="s">
        <v>587</v>
      </c>
    </row>
    <row r="74" customFormat="false" ht="15" hidden="false" customHeight="false" outlineLevel="0" collapsed="false">
      <c r="A74" s="79" t="s">
        <v>588</v>
      </c>
      <c r="B74" s="80"/>
      <c r="C74" s="83" t="n">
        <f aca="false">$C$69+$C$72+$C$71</f>
        <v>276000</v>
      </c>
      <c r="D74" s="52"/>
      <c r="E74" s="52"/>
      <c r="F74" s="52"/>
      <c r="G74" s="52"/>
      <c r="H74" s="52"/>
      <c r="I74" s="52"/>
      <c r="J74" s="12" t="s">
        <v>589</v>
      </c>
    </row>
    <row r="75" customFormat="false" ht="19.4" hidden="false" customHeight="false" outlineLevel="0" collapsed="false">
      <c r="A75" s="79" t="s">
        <v>590</v>
      </c>
      <c r="B75" s="80"/>
      <c r="C75" s="83" t="n">
        <f aca="false">$C$73-$C$74</f>
        <v>1548441.6</v>
      </c>
      <c r="D75" s="52"/>
      <c r="E75" s="52"/>
      <c r="F75" s="52"/>
      <c r="G75" s="52"/>
      <c r="H75" s="52"/>
      <c r="I75" s="52"/>
      <c r="J75" s="12" t="s">
        <v>591</v>
      </c>
    </row>
    <row r="76" customFormat="false" ht="15" hidden="false" customHeight="false" outlineLevel="0" collapsed="false">
      <c r="A76" s="79" t="s">
        <v>592</v>
      </c>
      <c r="B76" s="80"/>
      <c r="C76" s="88" t="n">
        <f aca="false">IF($C$73=0,"",$C$74/$C$73)</f>
        <v>0.151279163991876</v>
      </c>
      <c r="D76" s="52"/>
      <c r="E76" s="52"/>
      <c r="F76" s="52"/>
      <c r="G76" s="52"/>
      <c r="H76" s="52"/>
      <c r="I76" s="52"/>
      <c r="J76" s="12" t="s">
        <v>593</v>
      </c>
    </row>
    <row r="77" customFormat="false" ht="15" hidden="false" customHeight="false" outlineLevel="0" collapsed="false">
      <c r="A77" s="79" t="s">
        <v>594</v>
      </c>
      <c r="B77" s="80"/>
      <c r="C77" s="88" t="n">
        <f aca="false">IF($C$73=0,"",$C$69/$C$73)</f>
        <v>0.0361754522589268</v>
      </c>
      <c r="D77" s="52"/>
      <c r="E77" s="52"/>
      <c r="F77" s="52"/>
      <c r="G77" s="52"/>
      <c r="H77" s="52"/>
      <c r="I77" s="52"/>
      <c r="J77" s="12" t="s">
        <v>595</v>
      </c>
    </row>
    <row r="79" customFormat="false" ht="18.75" hidden="false" customHeight="true" outlineLevel="0" collapsed="false">
      <c r="A79" s="4" t="s">
        <v>596</v>
      </c>
      <c r="B79" s="4"/>
      <c r="C79" s="4"/>
      <c r="D79" s="4"/>
      <c r="E79" s="4"/>
      <c r="F79" s="4"/>
      <c r="G79" s="4"/>
      <c r="H79" s="4"/>
      <c r="I79" s="4"/>
      <c r="J79" s="4"/>
    </row>
    <row r="80" customFormat="false" ht="15" hidden="false" customHeight="false" outlineLevel="0" collapsed="false">
      <c r="A80" s="82" t="s">
        <v>597</v>
      </c>
      <c r="B80" s="80" t="s">
        <v>598</v>
      </c>
      <c r="C80" s="57" t="n">
        <f aca="false">SUM(C37:G37)</f>
        <v>2302666.59353869</v>
      </c>
      <c r="D80" s="52"/>
      <c r="E80" s="52"/>
      <c r="F80" s="52"/>
      <c r="G80" s="52"/>
      <c r="H80" s="52"/>
      <c r="I80" s="52"/>
      <c r="J80" s="12" t="s">
        <v>599</v>
      </c>
    </row>
    <row r="81" customFormat="false" ht="15" hidden="false" customHeight="false" outlineLevel="0" collapsed="false">
      <c r="A81" s="79" t="s">
        <v>600</v>
      </c>
      <c r="B81" s="80" t="s">
        <v>601</v>
      </c>
      <c r="C81" s="83" t="n">
        <f aca="false">p_Cint+p_Ccc+(p_nEval+p_nGouv)*p_Cetp</f>
        <v>480000</v>
      </c>
      <c r="D81" s="52"/>
      <c r="E81" s="52"/>
      <c r="F81" s="52"/>
      <c r="G81" s="52"/>
      <c r="H81" s="52"/>
      <c r="I81" s="52"/>
      <c r="J81" s="12" t="s">
        <v>602</v>
      </c>
    </row>
    <row r="82" customFormat="false" ht="15" hidden="false" customHeight="false" outlineLevel="0" collapsed="false">
      <c r="A82" s="82" t="s">
        <v>603</v>
      </c>
      <c r="B82" s="80" t="s">
        <v>604</v>
      </c>
      <c r="C82" s="86" t="n">
        <f aca="false">(1-p_pech)*$C$80-p_pech*$C$81</f>
        <v>1050466.62644628</v>
      </c>
      <c r="D82" s="52"/>
      <c r="E82" s="52"/>
      <c r="F82" s="52"/>
      <c r="G82" s="52"/>
      <c r="H82" s="52"/>
      <c r="I82" s="52"/>
      <c r="J82" s="12" t="s">
        <v>605</v>
      </c>
    </row>
    <row r="83" customFormat="false" ht="15" hidden="false" customHeight="false" outlineLevel="0" collapsed="false">
      <c r="A83" s="79" t="s">
        <v>606</v>
      </c>
      <c r="B83" s="80"/>
      <c r="C83" s="83" t="n">
        <f aca="false">p_Cint+p_Ccc+(p_nEval+p_nGouv)*p_Cetp*SUMPRODUCT($C$22:$G$22,$C$36:$G$36)</f>
        <v>881450.03756574</v>
      </c>
      <c r="D83" s="52"/>
      <c r="E83" s="52"/>
      <c r="F83" s="52"/>
      <c r="G83" s="52"/>
      <c r="H83" s="52"/>
      <c r="I83" s="52"/>
      <c r="J83" s="12" t="s">
        <v>607</v>
      </c>
    </row>
    <row r="84" customFormat="false" ht="15" hidden="false" customHeight="false" outlineLevel="0" collapsed="false">
      <c r="A84" s="82" t="s">
        <v>608</v>
      </c>
      <c r="B84" s="80" t="s">
        <v>609</v>
      </c>
      <c r="C84" s="95" t="n">
        <f aca="false">IF($C$83=0,"",$C$82/$C$83)</f>
        <v>1.19174834837753</v>
      </c>
      <c r="D84" s="52"/>
      <c r="E84" s="52"/>
      <c r="F84" s="52"/>
      <c r="G84" s="52"/>
      <c r="H84" s="52"/>
      <c r="I84" s="52"/>
      <c r="J84" s="12" t="s">
        <v>610</v>
      </c>
    </row>
    <row r="85" customFormat="false" ht="15" hidden="false" customHeight="false" outlineLevel="0" collapsed="false">
      <c r="A85" s="82" t="s">
        <v>611</v>
      </c>
      <c r="B85" s="80"/>
      <c r="C85" s="96" t="n">
        <f aca="false">IF(SUM(C38:G38)=0,"Non atteint sur l’horizon",MATCH(1,C38:G38,0))</f>
        <v>1</v>
      </c>
      <c r="D85" s="52"/>
      <c r="E85" s="52"/>
      <c r="F85" s="52"/>
      <c r="G85" s="52"/>
      <c r="H85" s="52"/>
      <c r="I85" s="52"/>
      <c r="J85" s="12" t="s">
        <v>612</v>
      </c>
    </row>
    <row r="86" customFormat="false" ht="15" hidden="false" customHeight="false" outlineLevel="0" collapsed="false">
      <c r="A86" s="79" t="s">
        <v>613</v>
      </c>
      <c r="B86" s="80"/>
      <c r="C86" s="97" t="str">
        <f aca="false">IF($C$84="","",IF($C$84&gt;=p_ROIcible,"Au-dessus du seuil exigé","En deçà du seuil exigé"))</f>
        <v>Au-dessus du seuil exigé</v>
      </c>
      <c r="D86" s="52"/>
      <c r="E86" s="52"/>
      <c r="F86" s="52"/>
      <c r="G86" s="52"/>
      <c r="H86" s="52"/>
      <c r="I86" s="52"/>
      <c r="J86" s="12" t="s">
        <v>614</v>
      </c>
    </row>
    <row r="87" customFormat="false" ht="15" hidden="false" customHeight="false" outlineLevel="0" collapsed="false">
      <c r="A87" s="79" t="s">
        <v>615</v>
      </c>
      <c r="B87" s="80"/>
      <c r="C87" s="90" t="n">
        <f aca="false">IF($C$82=0,"",$C$80/$C$82)</f>
        <v>2.1920416466048</v>
      </c>
      <c r="D87" s="52"/>
      <c r="E87" s="52"/>
      <c r="F87" s="52"/>
      <c r="G87" s="52"/>
      <c r="H87" s="52"/>
      <c r="I87" s="52"/>
      <c r="J87" s="12" t="s">
        <v>616</v>
      </c>
    </row>
    <row r="88" customFormat="false" ht="27.75" hidden="false" customHeight="true" outlineLevel="0" collapsed="false">
      <c r="A88" s="25" t="s">
        <v>617</v>
      </c>
      <c r="B88" s="25"/>
      <c r="C88" s="25"/>
      <c r="D88" s="25"/>
      <c r="E88" s="25"/>
      <c r="F88" s="25"/>
      <c r="G88" s="25"/>
      <c r="H88" s="25"/>
      <c r="I88" s="25"/>
      <c r="J88" s="25"/>
    </row>
  </sheetData>
  <mergeCells count="12">
    <mergeCell ref="A1:J1"/>
    <mergeCell ref="A2:J2"/>
    <mergeCell ref="A3:J3"/>
    <mergeCell ref="A5:J5"/>
    <mergeCell ref="A14:J14"/>
    <mergeCell ref="A19:J19"/>
    <mergeCell ref="A40:J40"/>
    <mergeCell ref="A50:J50"/>
    <mergeCell ref="A59:J59"/>
    <mergeCell ref="A61:J61"/>
    <mergeCell ref="A79:J79"/>
    <mergeCell ref="A88:J88"/>
  </mergeCell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D4B76A"/>
    <pageSetUpPr fitToPage="true"/>
  </sheetPr>
  <dimension ref="A1:I6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2" ySplit="6" topLeftCell="C7" activePane="bottomRight" state="frozen"/>
      <selection pane="topLeft" activeCell="A1" activeCellId="0" sqref="A1"/>
      <selection pane="topRight" activeCell="C1" activeCellId="0" sqref="C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1" min="1" style="0" width="58"/>
    <col collapsed="false" customWidth="true" hidden="false" outlineLevel="0" max="2" min="2" style="0" width="11"/>
    <col collapsed="false" customWidth="true" hidden="false" outlineLevel="0" max="8" min="3" style="0" width="17"/>
    <col collapsed="false" customWidth="true" hidden="false" outlineLevel="0" max="9" min="9" style="0" width="66"/>
  </cols>
  <sheetData>
    <row r="1" customFormat="false" ht="30" hidden="false" customHeight="true" outlineLevel="0" collapsed="false">
      <c r="A1" s="1" t="s">
        <v>618</v>
      </c>
      <c r="B1" s="1"/>
      <c r="C1" s="1"/>
      <c r="D1" s="1"/>
      <c r="E1" s="1"/>
      <c r="F1" s="1"/>
      <c r="G1" s="1"/>
      <c r="H1" s="1"/>
      <c r="I1" s="1"/>
    </row>
    <row r="2" customFormat="false" ht="19.5" hidden="false" customHeight="true" outlineLevel="0" collapsed="false">
      <c r="A2" s="2" t="s">
        <v>619</v>
      </c>
      <c r="B2" s="2"/>
      <c r="C2" s="2"/>
      <c r="D2" s="2"/>
      <c r="E2" s="2"/>
      <c r="F2" s="2"/>
      <c r="G2" s="2"/>
      <c r="H2" s="2"/>
      <c r="I2" s="2"/>
    </row>
    <row r="3" customFormat="false" ht="15.75" hidden="false" customHeight="true" outlineLevel="0" collapsed="false">
      <c r="A3" s="3" t="s">
        <v>620</v>
      </c>
      <c r="B3" s="3"/>
      <c r="C3" s="3"/>
      <c r="D3" s="3"/>
      <c r="E3" s="3"/>
      <c r="F3" s="3"/>
      <c r="G3" s="3"/>
      <c r="H3" s="3"/>
      <c r="I3" s="3"/>
    </row>
    <row r="5" customFormat="false" ht="18.75" hidden="false" customHeight="true" outlineLevel="0" collapsed="false">
      <c r="A5" s="4" t="s">
        <v>621</v>
      </c>
      <c r="B5" s="4"/>
      <c r="C5" s="4"/>
      <c r="D5" s="4"/>
      <c r="E5" s="4"/>
      <c r="F5" s="4"/>
      <c r="G5" s="4"/>
      <c r="H5" s="4"/>
      <c r="I5" s="4"/>
    </row>
    <row r="6" customFormat="false" ht="27.75" hidden="false" customHeight="true" outlineLevel="0" collapsed="false">
      <c r="A6" s="25" t="s">
        <v>622</v>
      </c>
      <c r="B6" s="25"/>
      <c r="C6" s="25"/>
      <c r="D6" s="25"/>
      <c r="E6" s="25"/>
      <c r="F6" s="25"/>
      <c r="G6" s="25"/>
      <c r="H6" s="25"/>
      <c r="I6" s="25"/>
    </row>
    <row r="8" customFormat="false" ht="30" hidden="false" customHeight="true" outlineLevel="0" collapsed="false">
      <c r="A8" s="8" t="s">
        <v>623</v>
      </c>
      <c r="B8" s="8" t="s">
        <v>79</v>
      </c>
      <c r="C8" s="8" t="s">
        <v>25</v>
      </c>
      <c r="D8" s="8"/>
      <c r="E8" s="8"/>
      <c r="F8" s="8"/>
      <c r="G8" s="8"/>
      <c r="H8" s="8"/>
      <c r="I8" s="8" t="s">
        <v>624</v>
      </c>
    </row>
    <row r="9" customFormat="false" ht="19.4" hidden="false" customHeight="false" outlineLevel="0" collapsed="false">
      <c r="A9" s="79" t="s">
        <v>229</v>
      </c>
      <c r="B9" s="80" t="s">
        <v>230</v>
      </c>
      <c r="C9" s="88" t="n">
        <f aca="false">p_qh</f>
        <v>0.717</v>
      </c>
      <c r="D9" s="52"/>
      <c r="E9" s="52"/>
      <c r="F9" s="52"/>
      <c r="G9" s="52"/>
      <c r="H9" s="52"/>
      <c r="I9" s="12" t="s">
        <v>625</v>
      </c>
    </row>
    <row r="10" customFormat="false" ht="19.4" hidden="false" customHeight="false" outlineLevel="0" collapsed="false">
      <c r="A10" s="79" t="s">
        <v>234</v>
      </c>
      <c r="B10" s="80" t="s">
        <v>235</v>
      </c>
      <c r="C10" s="88" t="n">
        <f aca="false">p_qa</f>
        <v>0.65</v>
      </c>
      <c r="D10" s="52"/>
      <c r="E10" s="52"/>
      <c r="F10" s="52"/>
      <c r="G10" s="52"/>
      <c r="H10" s="52"/>
      <c r="I10" s="12" t="s">
        <v>626</v>
      </c>
    </row>
    <row r="11" customFormat="false" ht="15" hidden="false" customHeight="false" outlineLevel="0" collapsed="false">
      <c r="A11" s="79" t="s">
        <v>627</v>
      </c>
      <c r="B11" s="80" t="s">
        <v>628</v>
      </c>
      <c r="C11" s="88" t="n">
        <f aca="false">$C$9-$C$10</f>
        <v>0.067</v>
      </c>
      <c r="D11" s="52"/>
      <c r="E11" s="52"/>
      <c r="F11" s="52"/>
      <c r="G11" s="52"/>
      <c r="H11" s="52"/>
      <c r="I11" s="12" t="s">
        <v>629</v>
      </c>
    </row>
    <row r="12" customFormat="false" ht="15" hidden="false" customHeight="false" outlineLevel="0" collapsed="false">
      <c r="A12" s="82" t="s">
        <v>630</v>
      </c>
      <c r="B12" s="80"/>
      <c r="C12" s="56" t="str">
        <f aca="false">IF($C$11&gt;0,"Humain seul",IF($C$11&lt;0,"Agent seul","Égalité"))</f>
        <v>Humain seul</v>
      </c>
      <c r="D12" s="52"/>
      <c r="E12" s="52"/>
      <c r="F12" s="52"/>
      <c r="G12" s="52"/>
      <c r="H12" s="52"/>
      <c r="I12" s="12" t="s">
        <v>631</v>
      </c>
    </row>
    <row r="13" customFormat="false" ht="19.4" hidden="false" customHeight="false" outlineLevel="0" collapsed="false">
      <c r="A13" s="82" t="s">
        <v>632</v>
      </c>
      <c r="B13" s="80" t="s">
        <v>163</v>
      </c>
      <c r="C13" s="98" t="n">
        <f aca="false">IF($C$11&gt;0,p_gsyn,p_gdes)</f>
        <v>0.46</v>
      </c>
      <c r="D13" s="52"/>
      <c r="E13" s="52"/>
      <c r="F13" s="52"/>
      <c r="G13" s="52"/>
      <c r="H13" s="52"/>
      <c r="I13" s="12" t="s">
        <v>633</v>
      </c>
    </row>
    <row r="14" customFormat="false" ht="19.4" hidden="false" customHeight="false" outlineLevel="0" collapsed="false">
      <c r="A14" s="82" t="s">
        <v>634</v>
      </c>
      <c r="B14" s="80"/>
      <c r="C14" s="99" t="str">
        <f aca="false">IF($C$11&gt;0,"P2, contrôle dans le flux, sur l’acte","P1 en amont sur la règle, ou P4 en continu sur la population")</f>
        <v>P2, contrôle dans le flux, sur l’acte</v>
      </c>
      <c r="D14" s="52"/>
      <c r="E14" s="52"/>
      <c r="F14" s="52"/>
      <c r="G14" s="52"/>
      <c r="H14" s="52"/>
      <c r="I14" s="12" t="s">
        <v>635</v>
      </c>
    </row>
    <row r="15" customFormat="false" ht="28.35" hidden="false" customHeight="false" outlineLevel="0" collapsed="false">
      <c r="A15" s="79" t="s">
        <v>636</v>
      </c>
      <c r="B15" s="80"/>
      <c r="C15" s="97" t="str">
        <f aca="false">IF($C$11&gt;0,"Validation nommée sur l’acte, avec taux de rejet suivi","Escalade déclenchée par le désaccord entre deux systèmes")</f>
        <v>Validation nommée sur l’acte, avec taux de rejet suivi</v>
      </c>
      <c r="D15" s="52"/>
      <c r="E15" s="52"/>
      <c r="F15" s="52"/>
      <c r="G15" s="52"/>
      <c r="H15" s="52"/>
      <c r="I15" s="12" t="s">
        <v>637</v>
      </c>
    </row>
    <row r="16" customFormat="false" ht="19.4" hidden="false" customHeight="false" outlineLevel="0" collapsed="false">
      <c r="A16" s="79" t="s">
        <v>638</v>
      </c>
      <c r="B16" s="80" t="s">
        <v>163</v>
      </c>
      <c r="C16" s="100" t="n">
        <f aca="false">p_gdec</f>
        <v>-0.27</v>
      </c>
      <c r="D16" s="52"/>
      <c r="E16" s="52"/>
      <c r="F16" s="52"/>
      <c r="G16" s="52"/>
      <c r="H16" s="52"/>
      <c r="I16" s="12" t="s">
        <v>639</v>
      </c>
    </row>
    <row r="17" customFormat="false" ht="19.4" hidden="false" customHeight="false" outlineLevel="0" collapsed="false">
      <c r="A17" s="79" t="s">
        <v>640</v>
      </c>
      <c r="B17" s="80" t="s">
        <v>163</v>
      </c>
      <c r="C17" s="100" t="n">
        <f aca="false">p_gcre</f>
        <v>0.19</v>
      </c>
      <c r="D17" s="52"/>
      <c r="E17" s="52"/>
      <c r="F17" s="52"/>
      <c r="G17" s="52"/>
      <c r="H17" s="52"/>
      <c r="I17" s="12" t="s">
        <v>641</v>
      </c>
    </row>
    <row r="18" customFormat="false" ht="38.25" hidden="false" customHeight="true" outlineLevel="0" collapsed="false">
      <c r="A18" s="25" t="s">
        <v>642</v>
      </c>
      <c r="B18" s="25"/>
      <c r="C18" s="25"/>
      <c r="D18" s="25"/>
      <c r="E18" s="25"/>
      <c r="F18" s="25"/>
      <c r="G18" s="25"/>
      <c r="H18" s="25"/>
      <c r="I18" s="25"/>
    </row>
    <row r="20" customFormat="false" ht="18.75" hidden="false" customHeight="true" outlineLevel="0" collapsed="false">
      <c r="A20" s="4" t="s">
        <v>643</v>
      </c>
      <c r="B20" s="4"/>
      <c r="C20" s="4"/>
      <c r="D20" s="4"/>
      <c r="E20" s="4"/>
      <c r="F20" s="4"/>
      <c r="G20" s="4"/>
      <c r="H20" s="4"/>
      <c r="I20" s="4"/>
    </row>
    <row r="21" customFormat="false" ht="30" hidden="false" customHeight="true" outlineLevel="0" collapsed="false">
      <c r="A21" s="8" t="s">
        <v>644</v>
      </c>
      <c r="B21" s="8" t="s">
        <v>645</v>
      </c>
      <c r="C21" s="8" t="s">
        <v>646</v>
      </c>
      <c r="D21" s="8" t="s">
        <v>647</v>
      </c>
      <c r="E21" s="8" t="s">
        <v>648</v>
      </c>
      <c r="F21" s="8" t="s">
        <v>649</v>
      </c>
      <c r="G21" s="8" t="s">
        <v>650</v>
      </c>
      <c r="H21" s="8" t="s">
        <v>651</v>
      </c>
      <c r="I21" s="8" t="s">
        <v>26</v>
      </c>
    </row>
    <row r="22" customFormat="false" ht="15.75" hidden="false" customHeight="true" outlineLevel="0" collapsed="false">
      <c r="A22" s="55" t="n">
        <f aca="false">0</f>
        <v>0</v>
      </c>
      <c r="B22" s="81" t="n">
        <f aca="false">p_V*p_a*(1-p_e)*$A22</f>
        <v>0</v>
      </c>
      <c r="C22" s="81" t="n">
        <f aca="false">$B22*p_ts</f>
        <v>0</v>
      </c>
      <c r="D22" s="83" t="n">
        <f aca="false">$C22*p_ch</f>
        <v>0</v>
      </c>
      <c r="E22" s="81" t="n">
        <f aca="false">$B22*(1-p_qa)*p_pdet</f>
        <v>0</v>
      </c>
      <c r="F22" s="83" t="n">
        <f aca="false">p_lam*$A22*p_pdet*p_Cevit</f>
        <v>0</v>
      </c>
      <c r="G22" s="101" t="n">
        <f aca="false">$F22-$D22</f>
        <v>0</v>
      </c>
      <c r="H22" s="83" t="str">
        <f aca="false">IF($E22=0,"",$D22/$E22)</f>
        <v/>
      </c>
      <c r="I22" s="102" t="str">
        <f aca="false">IF(ABS($A22-p_s)&lt;p_sgrid/100,"Taux retenu par le modèle","")</f>
        <v/>
      </c>
    </row>
    <row r="23" customFormat="false" ht="15.75" hidden="false" customHeight="true" outlineLevel="0" collapsed="false">
      <c r="A23" s="55" t="n">
        <f aca="false">$A22+p_sgrid</f>
        <v>0.01</v>
      </c>
      <c r="B23" s="81" t="n">
        <f aca="false">p_V*p_a*(1-p_e)*$A23</f>
        <v>528</v>
      </c>
      <c r="C23" s="81" t="n">
        <f aca="false">$B23*p_ts</f>
        <v>100.32</v>
      </c>
      <c r="D23" s="83" t="n">
        <f aca="false">$C23*p_ch</f>
        <v>6520.8</v>
      </c>
      <c r="E23" s="81" t="n">
        <f aca="false">$B23*(1-p_qa)*p_pdet</f>
        <v>61.59384</v>
      </c>
      <c r="F23" s="83" t="n">
        <f aca="false">p_lam*$A23*p_pdet*p_Cevit</f>
        <v>499.95</v>
      </c>
      <c r="G23" s="101" t="n">
        <f aca="false">$F23-$D23</f>
        <v>-6020.85</v>
      </c>
      <c r="H23" s="83" t="n">
        <f aca="false">IF($E23=0,"",$D23/$E23)</f>
        <v>105.867729630106</v>
      </c>
      <c r="I23" s="102" t="str">
        <f aca="false">IF(ABS($A23-p_s)&lt;p_sgrid/100,"Taux retenu par le modèle","")</f>
        <v/>
      </c>
    </row>
    <row r="24" customFormat="false" ht="15.75" hidden="false" customHeight="true" outlineLevel="0" collapsed="false">
      <c r="A24" s="55" t="n">
        <f aca="false">$A23+p_sgrid</f>
        <v>0.02</v>
      </c>
      <c r="B24" s="81" t="n">
        <f aca="false">p_V*p_a*(1-p_e)*$A24</f>
        <v>1056</v>
      </c>
      <c r="C24" s="81" t="n">
        <f aca="false">$B24*p_ts</f>
        <v>200.64</v>
      </c>
      <c r="D24" s="83" t="n">
        <f aca="false">$C24*p_ch</f>
        <v>13041.6</v>
      </c>
      <c r="E24" s="81" t="n">
        <f aca="false">$B24*(1-p_qa)*p_pdet</f>
        <v>123.18768</v>
      </c>
      <c r="F24" s="83" t="n">
        <f aca="false">p_lam*$A24*p_pdet*p_Cevit</f>
        <v>999.9</v>
      </c>
      <c r="G24" s="101" t="n">
        <f aca="false">$F24-$D24</f>
        <v>-12041.7</v>
      </c>
      <c r="H24" s="83" t="n">
        <f aca="false">IF($E24=0,"",$D24/$E24)</f>
        <v>105.867729630106</v>
      </c>
      <c r="I24" s="102" t="str">
        <f aca="false">IF(ABS($A24-p_s)&lt;p_sgrid/100,"Taux retenu par le modèle","")</f>
        <v>Taux retenu par le modèle</v>
      </c>
    </row>
    <row r="25" customFormat="false" ht="15.75" hidden="false" customHeight="true" outlineLevel="0" collapsed="false">
      <c r="A25" s="55" t="n">
        <f aca="false">$A24+p_sgrid</f>
        <v>0.03</v>
      </c>
      <c r="B25" s="81" t="n">
        <f aca="false">p_V*p_a*(1-p_e)*$A25</f>
        <v>1584</v>
      </c>
      <c r="C25" s="81" t="n">
        <f aca="false">$B25*p_ts</f>
        <v>300.96</v>
      </c>
      <c r="D25" s="83" t="n">
        <f aca="false">$C25*p_ch</f>
        <v>19562.4</v>
      </c>
      <c r="E25" s="81" t="n">
        <f aca="false">$B25*(1-p_qa)*p_pdet</f>
        <v>184.78152</v>
      </c>
      <c r="F25" s="83" t="n">
        <f aca="false">p_lam*$A25*p_pdet*p_Cevit</f>
        <v>1499.85</v>
      </c>
      <c r="G25" s="101" t="n">
        <f aca="false">$F25-$D25</f>
        <v>-18062.55</v>
      </c>
      <c r="H25" s="83" t="n">
        <f aca="false">IF($E25=0,"",$D25/$E25)</f>
        <v>105.867729630106</v>
      </c>
      <c r="I25" s="102" t="str">
        <f aca="false">IF(ABS($A25-p_s)&lt;p_sgrid/100,"Taux retenu par le modèle","")</f>
        <v/>
      </c>
    </row>
    <row r="26" customFormat="false" ht="15.75" hidden="false" customHeight="true" outlineLevel="0" collapsed="false">
      <c r="A26" s="55" t="n">
        <f aca="false">$A25+p_sgrid</f>
        <v>0.04</v>
      </c>
      <c r="B26" s="81" t="n">
        <f aca="false">p_V*p_a*(1-p_e)*$A26</f>
        <v>2112</v>
      </c>
      <c r="C26" s="81" t="n">
        <f aca="false">$B26*p_ts</f>
        <v>401.28</v>
      </c>
      <c r="D26" s="83" t="n">
        <f aca="false">$C26*p_ch</f>
        <v>26083.2</v>
      </c>
      <c r="E26" s="81" t="n">
        <f aca="false">$B26*(1-p_qa)*p_pdet</f>
        <v>246.37536</v>
      </c>
      <c r="F26" s="83" t="n">
        <f aca="false">p_lam*$A26*p_pdet*p_Cevit</f>
        <v>1999.8</v>
      </c>
      <c r="G26" s="101" t="n">
        <f aca="false">$F26-$D26</f>
        <v>-24083.4</v>
      </c>
      <c r="H26" s="83" t="n">
        <f aca="false">IF($E26=0,"",$D26/$E26)</f>
        <v>105.867729630106</v>
      </c>
      <c r="I26" s="102" t="str">
        <f aca="false">IF(ABS($A26-p_s)&lt;p_sgrid/100,"Taux retenu par le modèle","")</f>
        <v/>
      </c>
    </row>
    <row r="27" customFormat="false" ht="15.75" hidden="false" customHeight="true" outlineLevel="0" collapsed="false">
      <c r="A27" s="55" t="n">
        <f aca="false">$A26+p_sgrid</f>
        <v>0.05</v>
      </c>
      <c r="B27" s="81" t="n">
        <f aca="false">p_V*p_a*(1-p_e)*$A27</f>
        <v>2640</v>
      </c>
      <c r="C27" s="81" t="n">
        <f aca="false">$B27*p_ts</f>
        <v>501.6</v>
      </c>
      <c r="D27" s="83" t="n">
        <f aca="false">$C27*p_ch</f>
        <v>32604</v>
      </c>
      <c r="E27" s="81" t="n">
        <f aca="false">$B27*(1-p_qa)*p_pdet</f>
        <v>307.9692</v>
      </c>
      <c r="F27" s="83" t="n">
        <f aca="false">p_lam*$A27*p_pdet*p_Cevit</f>
        <v>2499.75</v>
      </c>
      <c r="G27" s="101" t="n">
        <f aca="false">$F27-$D27</f>
        <v>-30104.25</v>
      </c>
      <c r="H27" s="83" t="n">
        <f aca="false">IF($E27=0,"",$D27/$E27)</f>
        <v>105.867729630106</v>
      </c>
      <c r="I27" s="102" t="str">
        <f aca="false">IF(ABS($A27-p_s)&lt;p_sgrid/100,"Taux retenu par le modèle","")</f>
        <v/>
      </c>
    </row>
    <row r="28" customFormat="false" ht="15.75" hidden="false" customHeight="true" outlineLevel="0" collapsed="false">
      <c r="A28" s="55" t="n">
        <f aca="false">$A27+p_sgrid</f>
        <v>0.06</v>
      </c>
      <c r="B28" s="81" t="n">
        <f aca="false">p_V*p_a*(1-p_e)*$A28</f>
        <v>3168</v>
      </c>
      <c r="C28" s="81" t="n">
        <f aca="false">$B28*p_ts</f>
        <v>601.92</v>
      </c>
      <c r="D28" s="83" t="n">
        <f aca="false">$C28*p_ch</f>
        <v>39124.8</v>
      </c>
      <c r="E28" s="81" t="n">
        <f aca="false">$B28*(1-p_qa)*p_pdet</f>
        <v>369.56304</v>
      </c>
      <c r="F28" s="83" t="n">
        <f aca="false">p_lam*$A28*p_pdet*p_Cevit</f>
        <v>2999.7</v>
      </c>
      <c r="G28" s="101" t="n">
        <f aca="false">$F28-$D28</f>
        <v>-36125.1</v>
      </c>
      <c r="H28" s="83" t="n">
        <f aca="false">IF($E28=0,"",$D28/$E28)</f>
        <v>105.867729630106</v>
      </c>
      <c r="I28" s="102" t="str">
        <f aca="false">IF(ABS($A28-p_s)&lt;p_sgrid/100,"Taux retenu par le modèle","")</f>
        <v/>
      </c>
    </row>
    <row r="29" customFormat="false" ht="15.75" hidden="false" customHeight="true" outlineLevel="0" collapsed="false">
      <c r="A29" s="55" t="n">
        <f aca="false">$A28+p_sgrid</f>
        <v>0.07</v>
      </c>
      <c r="B29" s="81" t="n">
        <f aca="false">p_V*p_a*(1-p_e)*$A29</f>
        <v>3696</v>
      </c>
      <c r="C29" s="81" t="n">
        <f aca="false">$B29*p_ts</f>
        <v>702.24</v>
      </c>
      <c r="D29" s="83" t="n">
        <f aca="false">$C29*p_ch</f>
        <v>45645.6</v>
      </c>
      <c r="E29" s="81" t="n">
        <f aca="false">$B29*(1-p_qa)*p_pdet</f>
        <v>431.15688</v>
      </c>
      <c r="F29" s="83" t="n">
        <f aca="false">p_lam*$A29*p_pdet*p_Cevit</f>
        <v>3499.65</v>
      </c>
      <c r="G29" s="101" t="n">
        <f aca="false">$F29-$D29</f>
        <v>-42145.95</v>
      </c>
      <c r="H29" s="83" t="n">
        <f aca="false">IF($E29=0,"",$D29/$E29)</f>
        <v>105.867729630106</v>
      </c>
      <c r="I29" s="102" t="str">
        <f aca="false">IF(ABS($A29-p_s)&lt;p_sgrid/100,"Taux retenu par le modèle","")</f>
        <v/>
      </c>
    </row>
    <row r="30" customFormat="false" ht="15.75" hidden="false" customHeight="true" outlineLevel="0" collapsed="false">
      <c r="A30" s="55" t="n">
        <f aca="false">$A29+p_sgrid</f>
        <v>0.08</v>
      </c>
      <c r="B30" s="81" t="n">
        <f aca="false">p_V*p_a*(1-p_e)*$A30</f>
        <v>4224</v>
      </c>
      <c r="C30" s="81" t="n">
        <f aca="false">$B30*p_ts</f>
        <v>802.56</v>
      </c>
      <c r="D30" s="83" t="n">
        <f aca="false">$C30*p_ch</f>
        <v>52166.4</v>
      </c>
      <c r="E30" s="81" t="n">
        <f aca="false">$B30*(1-p_qa)*p_pdet</f>
        <v>492.75072</v>
      </c>
      <c r="F30" s="83" t="n">
        <f aca="false">p_lam*$A30*p_pdet*p_Cevit</f>
        <v>3999.6</v>
      </c>
      <c r="G30" s="101" t="n">
        <f aca="false">$F30-$D30</f>
        <v>-48166.8</v>
      </c>
      <c r="H30" s="83" t="n">
        <f aca="false">IF($E30=0,"",$D30/$E30)</f>
        <v>105.867729630106</v>
      </c>
      <c r="I30" s="102" t="str">
        <f aca="false">IF(ABS($A30-p_s)&lt;p_sgrid/100,"Taux retenu par le modèle","")</f>
        <v/>
      </c>
    </row>
    <row r="31" customFormat="false" ht="15.75" hidden="false" customHeight="true" outlineLevel="0" collapsed="false">
      <c r="A31" s="55" t="n">
        <f aca="false">$A30+p_sgrid</f>
        <v>0.09</v>
      </c>
      <c r="B31" s="81" t="n">
        <f aca="false">p_V*p_a*(1-p_e)*$A31</f>
        <v>4752</v>
      </c>
      <c r="C31" s="81" t="n">
        <f aca="false">$B31*p_ts</f>
        <v>902.88</v>
      </c>
      <c r="D31" s="83" t="n">
        <f aca="false">$C31*p_ch</f>
        <v>58687.2</v>
      </c>
      <c r="E31" s="81" t="n">
        <f aca="false">$B31*(1-p_qa)*p_pdet</f>
        <v>554.34456</v>
      </c>
      <c r="F31" s="83" t="n">
        <f aca="false">p_lam*$A31*p_pdet*p_Cevit</f>
        <v>4499.55</v>
      </c>
      <c r="G31" s="101" t="n">
        <f aca="false">$F31-$D31</f>
        <v>-54187.65</v>
      </c>
      <c r="H31" s="83" t="n">
        <f aca="false">IF($E31=0,"",$D31/$E31)</f>
        <v>105.867729630106</v>
      </c>
      <c r="I31" s="102" t="str">
        <f aca="false">IF(ABS($A31-p_s)&lt;p_sgrid/100,"Taux retenu par le modèle","")</f>
        <v/>
      </c>
    </row>
    <row r="32" customFormat="false" ht="15.75" hidden="false" customHeight="true" outlineLevel="0" collapsed="false">
      <c r="A32" s="55" t="n">
        <f aca="false">$A31+p_sgrid</f>
        <v>0.1</v>
      </c>
      <c r="B32" s="81" t="n">
        <f aca="false">p_V*p_a*(1-p_e)*$A32</f>
        <v>5280</v>
      </c>
      <c r="C32" s="81" t="n">
        <f aca="false">$B32*p_ts</f>
        <v>1003.2</v>
      </c>
      <c r="D32" s="83" t="n">
        <f aca="false">$C32*p_ch</f>
        <v>65208</v>
      </c>
      <c r="E32" s="81" t="n">
        <f aca="false">$B32*(1-p_qa)*p_pdet</f>
        <v>615.9384</v>
      </c>
      <c r="F32" s="83" t="n">
        <f aca="false">p_lam*$A32*p_pdet*p_Cevit</f>
        <v>4999.5</v>
      </c>
      <c r="G32" s="101" t="n">
        <f aca="false">$F32-$D32</f>
        <v>-60208.5</v>
      </c>
      <c r="H32" s="83" t="n">
        <f aca="false">IF($E32=0,"",$D32/$E32)</f>
        <v>105.867729630106</v>
      </c>
      <c r="I32" s="102" t="str">
        <f aca="false">IF(ABS($A32-p_s)&lt;p_sgrid/100,"Taux retenu par le modèle","")</f>
        <v/>
      </c>
    </row>
    <row r="33" customFormat="false" ht="15.75" hidden="false" customHeight="true" outlineLevel="0" collapsed="false">
      <c r="A33" s="55" t="n">
        <f aca="false">$A32+p_sgrid</f>
        <v>0.11</v>
      </c>
      <c r="B33" s="81" t="n">
        <f aca="false">p_V*p_a*(1-p_e)*$A33</f>
        <v>5808</v>
      </c>
      <c r="C33" s="81" t="n">
        <f aca="false">$B33*p_ts</f>
        <v>1103.52</v>
      </c>
      <c r="D33" s="83" t="n">
        <f aca="false">$C33*p_ch</f>
        <v>71728.8</v>
      </c>
      <c r="E33" s="81" t="n">
        <f aca="false">$B33*(1-p_qa)*p_pdet</f>
        <v>677.53224</v>
      </c>
      <c r="F33" s="83" t="n">
        <f aca="false">p_lam*$A33*p_pdet*p_Cevit</f>
        <v>5499.45</v>
      </c>
      <c r="G33" s="101" t="n">
        <f aca="false">$F33-$D33</f>
        <v>-66229.35</v>
      </c>
      <c r="H33" s="83" t="n">
        <f aca="false">IF($E33=0,"",$D33/$E33)</f>
        <v>105.867729630106</v>
      </c>
      <c r="I33" s="102" t="str">
        <f aca="false">IF(ABS($A33-p_s)&lt;p_sgrid/100,"Taux retenu par le modèle","")</f>
        <v/>
      </c>
    </row>
    <row r="34" customFormat="false" ht="15.75" hidden="false" customHeight="true" outlineLevel="0" collapsed="false">
      <c r="A34" s="55" t="n">
        <f aca="false">$A33+p_sgrid</f>
        <v>0.12</v>
      </c>
      <c r="B34" s="81" t="n">
        <f aca="false">p_V*p_a*(1-p_e)*$A34</f>
        <v>6336</v>
      </c>
      <c r="C34" s="81" t="n">
        <f aca="false">$B34*p_ts</f>
        <v>1203.84</v>
      </c>
      <c r="D34" s="83" t="n">
        <f aca="false">$C34*p_ch</f>
        <v>78249.6</v>
      </c>
      <c r="E34" s="81" t="n">
        <f aca="false">$B34*(1-p_qa)*p_pdet</f>
        <v>739.12608</v>
      </c>
      <c r="F34" s="83" t="n">
        <f aca="false">p_lam*$A34*p_pdet*p_Cevit</f>
        <v>5999.4</v>
      </c>
      <c r="G34" s="101" t="n">
        <f aca="false">$F34-$D34</f>
        <v>-72250.2</v>
      </c>
      <c r="H34" s="83" t="n">
        <f aca="false">IF($E34=0,"",$D34/$E34)</f>
        <v>105.867729630106</v>
      </c>
      <c r="I34" s="102" t="str">
        <f aca="false">IF(ABS($A34-p_s)&lt;p_sgrid/100,"Taux retenu par le modèle","")</f>
        <v/>
      </c>
    </row>
    <row r="35" customFormat="false" ht="15.75" hidden="false" customHeight="true" outlineLevel="0" collapsed="false">
      <c r="A35" s="55" t="n">
        <f aca="false">$A34+p_sgrid</f>
        <v>0.13</v>
      </c>
      <c r="B35" s="81" t="n">
        <f aca="false">p_V*p_a*(1-p_e)*$A35</f>
        <v>6864</v>
      </c>
      <c r="C35" s="81" t="n">
        <f aca="false">$B35*p_ts</f>
        <v>1304.16</v>
      </c>
      <c r="D35" s="83" t="n">
        <f aca="false">$C35*p_ch</f>
        <v>84770.4</v>
      </c>
      <c r="E35" s="81" t="n">
        <f aca="false">$B35*(1-p_qa)*p_pdet</f>
        <v>800.71992</v>
      </c>
      <c r="F35" s="83" t="n">
        <f aca="false">p_lam*$A35*p_pdet*p_Cevit</f>
        <v>6499.35</v>
      </c>
      <c r="G35" s="101" t="n">
        <f aca="false">$F35-$D35</f>
        <v>-78271.05</v>
      </c>
      <c r="H35" s="83" t="n">
        <f aca="false">IF($E35=0,"",$D35/$E35)</f>
        <v>105.867729630106</v>
      </c>
      <c r="I35" s="102" t="str">
        <f aca="false">IF(ABS($A35-p_s)&lt;p_sgrid/100,"Taux retenu par le modèle","")</f>
        <v/>
      </c>
    </row>
    <row r="36" customFormat="false" ht="15.75" hidden="false" customHeight="true" outlineLevel="0" collapsed="false">
      <c r="A36" s="55" t="n">
        <f aca="false">$A35+p_sgrid</f>
        <v>0.14</v>
      </c>
      <c r="B36" s="81" t="n">
        <f aca="false">p_V*p_a*(1-p_e)*$A36</f>
        <v>7392</v>
      </c>
      <c r="C36" s="81" t="n">
        <f aca="false">$B36*p_ts</f>
        <v>1404.48</v>
      </c>
      <c r="D36" s="83" t="n">
        <f aca="false">$C36*p_ch</f>
        <v>91291.2</v>
      </c>
      <c r="E36" s="81" t="n">
        <f aca="false">$B36*(1-p_qa)*p_pdet</f>
        <v>862.31376</v>
      </c>
      <c r="F36" s="83" t="n">
        <f aca="false">p_lam*$A36*p_pdet*p_Cevit</f>
        <v>6999.3</v>
      </c>
      <c r="G36" s="101" t="n">
        <f aca="false">$F36-$D36</f>
        <v>-84291.9</v>
      </c>
      <c r="H36" s="83" t="n">
        <f aca="false">IF($E36=0,"",$D36/$E36)</f>
        <v>105.867729630106</v>
      </c>
      <c r="I36" s="102" t="str">
        <f aca="false">IF(ABS($A36-p_s)&lt;p_sgrid/100,"Taux retenu par le modèle","")</f>
        <v/>
      </c>
    </row>
    <row r="37" customFormat="false" ht="15.75" hidden="false" customHeight="true" outlineLevel="0" collapsed="false">
      <c r="A37" s="55" t="n">
        <f aca="false">$A36+p_sgrid</f>
        <v>0.15</v>
      </c>
      <c r="B37" s="81" t="n">
        <f aca="false">p_V*p_a*(1-p_e)*$A37</f>
        <v>7920</v>
      </c>
      <c r="C37" s="81" t="n">
        <f aca="false">$B37*p_ts</f>
        <v>1504.8</v>
      </c>
      <c r="D37" s="83" t="n">
        <f aca="false">$C37*p_ch</f>
        <v>97812</v>
      </c>
      <c r="E37" s="81" t="n">
        <f aca="false">$B37*(1-p_qa)*p_pdet</f>
        <v>923.9076</v>
      </c>
      <c r="F37" s="83" t="n">
        <f aca="false">p_lam*$A37*p_pdet*p_Cevit</f>
        <v>7499.25</v>
      </c>
      <c r="G37" s="101" t="n">
        <f aca="false">$F37-$D37</f>
        <v>-90312.75</v>
      </c>
      <c r="H37" s="83" t="n">
        <f aca="false">IF($E37=0,"",$D37/$E37)</f>
        <v>105.867729630106</v>
      </c>
      <c r="I37" s="102" t="str">
        <f aca="false">IF(ABS($A37-p_s)&lt;p_sgrid/100,"Taux retenu par le modèle","")</f>
        <v/>
      </c>
    </row>
    <row r="38" customFormat="false" ht="15.75" hidden="false" customHeight="true" outlineLevel="0" collapsed="false">
      <c r="A38" s="55" t="n">
        <f aca="false">$A37+p_sgrid</f>
        <v>0.16</v>
      </c>
      <c r="B38" s="81" t="n">
        <f aca="false">p_V*p_a*(1-p_e)*$A38</f>
        <v>8448</v>
      </c>
      <c r="C38" s="81" t="n">
        <f aca="false">$B38*p_ts</f>
        <v>1605.12</v>
      </c>
      <c r="D38" s="83" t="n">
        <f aca="false">$C38*p_ch</f>
        <v>104332.8</v>
      </c>
      <c r="E38" s="81" t="n">
        <f aca="false">$B38*(1-p_qa)*p_pdet</f>
        <v>985.50144</v>
      </c>
      <c r="F38" s="83" t="n">
        <f aca="false">p_lam*$A38*p_pdet*p_Cevit</f>
        <v>7999.2</v>
      </c>
      <c r="G38" s="101" t="n">
        <f aca="false">$F38-$D38</f>
        <v>-96333.6</v>
      </c>
      <c r="H38" s="83" t="n">
        <f aca="false">IF($E38=0,"",$D38/$E38)</f>
        <v>105.867729630106</v>
      </c>
      <c r="I38" s="102" t="str">
        <f aca="false">IF(ABS($A38-p_s)&lt;p_sgrid/100,"Taux retenu par le modèle","")</f>
        <v/>
      </c>
    </row>
    <row r="39" customFormat="false" ht="15.75" hidden="false" customHeight="true" outlineLevel="0" collapsed="false">
      <c r="A39" s="55" t="n">
        <f aca="false">$A38+p_sgrid</f>
        <v>0.17</v>
      </c>
      <c r="B39" s="81" t="n">
        <f aca="false">p_V*p_a*(1-p_e)*$A39</f>
        <v>8976</v>
      </c>
      <c r="C39" s="81" t="n">
        <f aca="false">$B39*p_ts</f>
        <v>1705.44</v>
      </c>
      <c r="D39" s="83" t="n">
        <f aca="false">$C39*p_ch</f>
        <v>110853.6</v>
      </c>
      <c r="E39" s="81" t="n">
        <f aca="false">$B39*(1-p_qa)*p_pdet</f>
        <v>1047.09528</v>
      </c>
      <c r="F39" s="83" t="n">
        <f aca="false">p_lam*$A39*p_pdet*p_Cevit</f>
        <v>8499.15</v>
      </c>
      <c r="G39" s="101" t="n">
        <f aca="false">$F39-$D39</f>
        <v>-102354.45</v>
      </c>
      <c r="H39" s="83" t="n">
        <f aca="false">IF($E39=0,"",$D39/$E39)</f>
        <v>105.867729630106</v>
      </c>
      <c r="I39" s="102" t="str">
        <f aca="false">IF(ABS($A39-p_s)&lt;p_sgrid/100,"Taux retenu par le modèle","")</f>
        <v/>
      </c>
    </row>
    <row r="40" customFormat="false" ht="15.75" hidden="false" customHeight="true" outlineLevel="0" collapsed="false">
      <c r="A40" s="55" t="n">
        <f aca="false">$A39+p_sgrid</f>
        <v>0.18</v>
      </c>
      <c r="B40" s="81" t="n">
        <f aca="false">p_V*p_a*(1-p_e)*$A40</f>
        <v>9504</v>
      </c>
      <c r="C40" s="81" t="n">
        <f aca="false">$B40*p_ts</f>
        <v>1805.76</v>
      </c>
      <c r="D40" s="83" t="n">
        <f aca="false">$C40*p_ch</f>
        <v>117374.4</v>
      </c>
      <c r="E40" s="81" t="n">
        <f aca="false">$B40*(1-p_qa)*p_pdet</f>
        <v>1108.68912</v>
      </c>
      <c r="F40" s="83" t="n">
        <f aca="false">p_lam*$A40*p_pdet*p_Cevit</f>
        <v>8999.1</v>
      </c>
      <c r="G40" s="101" t="n">
        <f aca="false">$F40-$D40</f>
        <v>-108375.3</v>
      </c>
      <c r="H40" s="83" t="n">
        <f aca="false">IF($E40=0,"",$D40/$E40)</f>
        <v>105.867729630106</v>
      </c>
      <c r="I40" s="102" t="str">
        <f aca="false">IF(ABS($A40-p_s)&lt;p_sgrid/100,"Taux retenu par le modèle","")</f>
        <v/>
      </c>
    </row>
    <row r="41" customFormat="false" ht="15.75" hidden="false" customHeight="true" outlineLevel="0" collapsed="false">
      <c r="A41" s="55" t="n">
        <f aca="false">$A40+p_sgrid</f>
        <v>0.19</v>
      </c>
      <c r="B41" s="81" t="n">
        <f aca="false">p_V*p_a*(1-p_e)*$A41</f>
        <v>10032</v>
      </c>
      <c r="C41" s="81" t="n">
        <f aca="false">$B41*p_ts</f>
        <v>1906.08</v>
      </c>
      <c r="D41" s="83" t="n">
        <f aca="false">$C41*p_ch</f>
        <v>123895.2</v>
      </c>
      <c r="E41" s="81" t="n">
        <f aca="false">$B41*(1-p_qa)*p_pdet</f>
        <v>1170.28296</v>
      </c>
      <c r="F41" s="83" t="n">
        <f aca="false">p_lam*$A41*p_pdet*p_Cevit</f>
        <v>9499.05</v>
      </c>
      <c r="G41" s="101" t="n">
        <f aca="false">$F41-$D41</f>
        <v>-114396.15</v>
      </c>
      <c r="H41" s="83" t="n">
        <f aca="false">IF($E41=0,"",$D41/$E41)</f>
        <v>105.867729630106</v>
      </c>
      <c r="I41" s="102" t="str">
        <f aca="false">IF(ABS($A41-p_s)&lt;p_sgrid/100,"Taux retenu par le modèle","")</f>
        <v/>
      </c>
    </row>
    <row r="42" customFormat="false" ht="15.75" hidden="false" customHeight="true" outlineLevel="0" collapsed="false">
      <c r="A42" s="55" t="n">
        <f aca="false">$A41+p_sgrid</f>
        <v>0.2</v>
      </c>
      <c r="B42" s="81" t="n">
        <f aca="false">p_V*p_a*(1-p_e)*$A42</f>
        <v>10560</v>
      </c>
      <c r="C42" s="81" t="n">
        <f aca="false">$B42*p_ts</f>
        <v>2006.4</v>
      </c>
      <c r="D42" s="83" t="n">
        <f aca="false">$C42*p_ch</f>
        <v>130416</v>
      </c>
      <c r="E42" s="81" t="n">
        <f aca="false">$B42*(1-p_qa)*p_pdet</f>
        <v>1231.8768</v>
      </c>
      <c r="F42" s="83" t="n">
        <f aca="false">p_lam*$A42*p_pdet*p_Cevit</f>
        <v>9999</v>
      </c>
      <c r="G42" s="101" t="n">
        <f aca="false">$F42-$D42</f>
        <v>-120417</v>
      </c>
      <c r="H42" s="83" t="n">
        <f aca="false">IF($E42=0,"",$D42/$E42)</f>
        <v>105.867729630106</v>
      </c>
      <c r="I42" s="102" t="str">
        <f aca="false">IF(ABS($A42-p_s)&lt;p_sgrid/100,"Taux retenu par le modèle","")</f>
        <v/>
      </c>
    </row>
    <row r="44" customFormat="false" ht="19.4" hidden="false" customHeight="false" outlineLevel="0" collapsed="false">
      <c r="A44" s="79" t="s">
        <v>652</v>
      </c>
      <c r="B44" s="80"/>
      <c r="C44" s="83" t="n">
        <f aca="false">p_V*p_a*(1-p_e)*p_s*p_ts*p_ch</f>
        <v>13041.6</v>
      </c>
      <c r="D44" s="52"/>
      <c r="E44" s="52"/>
      <c r="F44" s="52"/>
      <c r="G44" s="52"/>
      <c r="H44" s="52"/>
      <c r="I44" s="12" t="s">
        <v>653</v>
      </c>
    </row>
    <row r="45" customFormat="false" ht="19.4" hidden="false" customHeight="false" outlineLevel="0" collapsed="false">
      <c r="A45" s="79" t="s">
        <v>654</v>
      </c>
      <c r="B45" s="80"/>
      <c r="C45" s="83" t="n">
        <f aca="false">p_lam*p_pdet*p_Cevit-p_V*p_a*(1-p_e)*p_ts*p_ch</f>
        <v>-602085</v>
      </c>
      <c r="D45" s="52"/>
      <c r="E45" s="52"/>
      <c r="F45" s="52"/>
      <c r="G45" s="52"/>
      <c r="H45" s="52"/>
      <c r="I45" s="12" t="s">
        <v>655</v>
      </c>
    </row>
    <row r="46" customFormat="false" ht="28.35" hidden="false" customHeight="false" outlineLevel="0" collapsed="false">
      <c r="A46" s="82" t="s">
        <v>656</v>
      </c>
      <c r="B46" s="80" t="s">
        <v>657</v>
      </c>
      <c r="C46" s="103" t="n">
        <f aca="false">IF($C$45&gt;0,1,0)</f>
        <v>0</v>
      </c>
      <c r="D46" s="52"/>
      <c r="E46" s="52"/>
      <c r="F46" s="52"/>
      <c r="G46" s="52"/>
      <c r="H46" s="52"/>
      <c r="I46" s="12" t="s">
        <v>658</v>
      </c>
    </row>
    <row r="47" customFormat="false" ht="23.85" hidden="false" customHeight="false" outlineLevel="0" collapsed="false">
      <c r="A47" s="82" t="s">
        <v>659</v>
      </c>
      <c r="B47" s="80" t="s">
        <v>660</v>
      </c>
      <c r="C47" s="86" t="n">
        <f aca="false">IF(p_lam*p_pdet=0,"",(p_V*p_a*(1-p_e)*p_ts*p_ch)/(p_lam*p_pdet))</f>
        <v>1956435.64356436</v>
      </c>
      <c r="D47" s="52"/>
      <c r="E47" s="52"/>
      <c r="F47" s="52"/>
      <c r="G47" s="52"/>
      <c r="H47" s="52"/>
      <c r="I47" s="12" t="s">
        <v>661</v>
      </c>
    </row>
    <row r="48" customFormat="false" ht="19.4" hidden="false" customHeight="false" outlineLevel="0" collapsed="false">
      <c r="A48" s="79" t="s">
        <v>662</v>
      </c>
      <c r="B48" s="80"/>
      <c r="C48" s="90" t="n">
        <f aca="false">IF(p_Cevit=0,"",$C$47/p_Cevit)</f>
        <v>13.042904290429</v>
      </c>
      <c r="D48" s="52"/>
      <c r="E48" s="52"/>
      <c r="F48" s="52"/>
      <c r="G48" s="52"/>
      <c r="H48" s="52"/>
      <c r="I48" s="12" t="s">
        <v>663</v>
      </c>
    </row>
    <row r="49" customFormat="false" ht="15" hidden="false" customHeight="false" outlineLevel="0" collapsed="false">
      <c r="A49" s="79" t="s">
        <v>664</v>
      </c>
      <c r="B49" s="80"/>
      <c r="C49" s="88" t="n">
        <f aca="false">IF('3. Calculateur'!$C$73=0,"",('3. Calculateur'!$C$63+'3. Calculateur'!$C$64+'3. Calculateur'!$C$65)/'3. Calculateur'!$C$73)</f>
        <v>0.618513412542227</v>
      </c>
      <c r="D49" s="52"/>
      <c r="E49" s="52"/>
      <c r="F49" s="52"/>
      <c r="G49" s="52"/>
      <c r="H49" s="52"/>
      <c r="I49" s="12" t="s">
        <v>665</v>
      </c>
    </row>
    <row r="50" customFormat="false" ht="27.75" hidden="false" customHeight="true" outlineLevel="0" collapsed="false">
      <c r="A50" s="25" t="s">
        <v>666</v>
      </c>
      <c r="B50" s="25"/>
      <c r="C50" s="25"/>
      <c r="D50" s="25"/>
      <c r="E50" s="25"/>
      <c r="F50" s="25"/>
      <c r="G50" s="25"/>
      <c r="H50" s="25"/>
      <c r="I50" s="25"/>
    </row>
    <row r="52" customFormat="false" ht="18.75" hidden="false" customHeight="true" outlineLevel="0" collapsed="false">
      <c r="A52" s="4" t="s">
        <v>667</v>
      </c>
      <c r="B52" s="4"/>
      <c r="C52" s="4"/>
      <c r="D52" s="4"/>
      <c r="E52" s="4"/>
      <c r="F52" s="4"/>
      <c r="G52" s="4"/>
      <c r="H52" s="4"/>
      <c r="I52" s="4"/>
    </row>
    <row r="53" customFormat="false" ht="30" hidden="false" customHeight="true" outlineLevel="0" collapsed="false">
      <c r="A53" s="8" t="s">
        <v>322</v>
      </c>
      <c r="B53" s="8" t="s">
        <v>668</v>
      </c>
      <c r="C53" s="8" t="s">
        <v>669</v>
      </c>
      <c r="D53" s="8" t="s">
        <v>670</v>
      </c>
      <c r="E53" s="8" t="s">
        <v>488</v>
      </c>
      <c r="F53" s="8" t="s">
        <v>671</v>
      </c>
      <c r="G53" s="8" t="s">
        <v>672</v>
      </c>
      <c r="H53" s="8" t="s">
        <v>608</v>
      </c>
      <c r="I53" s="8" t="s">
        <v>26</v>
      </c>
    </row>
    <row r="54" customFormat="false" ht="15.75" hidden="false" customHeight="true" outlineLevel="0" collapsed="false">
      <c r="A54" s="55" t="n">
        <f aca="false">0</f>
        <v>0</v>
      </c>
      <c r="B54" s="81" t="n">
        <f aca="false">p_V*p_a*$A54</f>
        <v>0</v>
      </c>
      <c r="C54" s="83" t="n">
        <f aca="false">$B54*p_te*p_ch</f>
        <v>0</v>
      </c>
      <c r="D54" s="83" t="n">
        <f aca="false">p_V*p_a*(1-$A54)*p_t1*p_ch</f>
        <v>429000</v>
      </c>
      <c r="E54" s="83" t="n">
        <f aca="false">p_V*p_a*(1-$A54)*p_s*p_ts*p_ch</f>
        <v>16302</v>
      </c>
      <c r="F54" s="101" t="n">
        <f aca="false">SUM($C54:$E54)</f>
        <v>445302</v>
      </c>
      <c r="G54" s="83" t="n">
        <f aca="false">(p_V*p_a*(p_t0*p_ch-$A54*p_te*p_ch-(1-$A54)*p_t1*p_ch-(1-$A54)*p_s*p_ts*p_ch-p_cinf-p_sauto*p_cjuge))*(1-p_delta)-((p_nEval+p_nGouv)*p_Cetp+p_Cint+p_Ccc)-p_lam*p_Cinc</f>
        <v>1399648.5</v>
      </c>
      <c r="H54" s="50" t="n">
        <f aca="false">IF('3. Calculateur'!$C$83=0,"",((1-p_pech)*$G54/(1+p_r)-p_pech*'3. Calculateur'!$C$81)/'3. Calculateur'!$C$83)</f>
        <v>0.548895830030429</v>
      </c>
      <c r="I54" s="102" t="str">
        <f aca="false">IF(ABS($A54-p_e)&lt;p_egrid/100,"Taux retenu par le modèle","")</f>
        <v/>
      </c>
    </row>
    <row r="55" customFormat="false" ht="15.75" hidden="false" customHeight="true" outlineLevel="0" collapsed="false">
      <c r="A55" s="55" t="n">
        <f aca="false">$A54+p_egrid</f>
        <v>0.05</v>
      </c>
      <c r="B55" s="81" t="n">
        <f aca="false">p_V*p_a*$A55</f>
        <v>3300</v>
      </c>
      <c r="C55" s="83" t="n">
        <f aca="false">$B55*p_te*p_ch</f>
        <v>193050</v>
      </c>
      <c r="D55" s="83" t="n">
        <f aca="false">p_V*p_a*(1-$A55)*p_t1*p_ch</f>
        <v>407550</v>
      </c>
      <c r="E55" s="83" t="n">
        <f aca="false">p_V*p_a*(1-$A55)*p_s*p_ts*p_ch</f>
        <v>15486.9</v>
      </c>
      <c r="F55" s="101" t="n">
        <f aca="false">SUM($C55:$E55)</f>
        <v>616086.9</v>
      </c>
      <c r="G55" s="83" t="n">
        <f aca="false">(p_V*p_a*(p_t0*p_ch-$A55*p_te*p_ch-(1-$A55)*p_t1*p_ch-(1-$A55)*p_s*p_ts*p_ch-p_cinf-p_sauto*p_cjuge))*(1-p_delta)-((p_nEval+p_nGouv)*p_Cetp+p_Cint+p_Ccc)-p_lam*p_Cinc</f>
        <v>1271559.825</v>
      </c>
      <c r="H55" s="50" t="n">
        <f aca="false">IF('3. Calculateur'!$C$83=0,"",((1-p_pech)*$G55/(1+p_r)-p_pech*'3. Calculateur'!$C$81)/'3. Calculateur'!$C$83)</f>
        <v>0.476237897339351</v>
      </c>
      <c r="I55" s="102" t="str">
        <f aca="false">IF(ABS($A55-p_e)&lt;p_egrid/100,"Taux retenu par le modèle","")</f>
        <v/>
      </c>
    </row>
    <row r="56" customFormat="false" ht="15.75" hidden="false" customHeight="true" outlineLevel="0" collapsed="false">
      <c r="A56" s="55" t="n">
        <f aca="false">$A55+p_egrid</f>
        <v>0.1</v>
      </c>
      <c r="B56" s="81" t="n">
        <f aca="false">p_V*p_a*$A56</f>
        <v>6600</v>
      </c>
      <c r="C56" s="83" t="n">
        <f aca="false">$B56*p_te*p_ch</f>
        <v>386100</v>
      </c>
      <c r="D56" s="83" t="n">
        <f aca="false">p_V*p_a*(1-$A56)*p_t1*p_ch</f>
        <v>386100</v>
      </c>
      <c r="E56" s="83" t="n">
        <f aca="false">p_V*p_a*(1-$A56)*p_s*p_ts*p_ch</f>
        <v>14671.8</v>
      </c>
      <c r="F56" s="101" t="n">
        <f aca="false">SUM($C56:$E56)</f>
        <v>786871.8</v>
      </c>
      <c r="G56" s="83" t="n">
        <f aca="false">(p_V*p_a*(p_t0*p_ch-$A56*p_te*p_ch-(1-$A56)*p_t1*p_ch-(1-$A56)*p_s*p_ts*p_ch-p_cinf-p_sauto*p_cjuge))*(1-p_delta)-((p_nEval+p_nGouv)*p_Cetp+p_Cint+p_Ccc)-p_lam*p_Cinc</f>
        <v>1143471.15</v>
      </c>
      <c r="H56" s="50" t="n">
        <f aca="false">IF('3. Calculateur'!$C$83=0,"",((1-p_pech)*$G56/(1+p_r)-p_pech*'3. Calculateur'!$C$81)/'3. Calculateur'!$C$83)</f>
        <v>0.403579964648273</v>
      </c>
      <c r="I56" s="102" t="str">
        <f aca="false">IF(ABS($A56-p_e)&lt;p_egrid/100,"Taux retenu par le modèle","")</f>
        <v/>
      </c>
    </row>
    <row r="57" customFormat="false" ht="15.75" hidden="false" customHeight="true" outlineLevel="0" collapsed="false">
      <c r="A57" s="55" t="n">
        <f aca="false">$A56+p_egrid</f>
        <v>0.15</v>
      </c>
      <c r="B57" s="81" t="n">
        <f aca="false">p_V*p_a*$A57</f>
        <v>9900</v>
      </c>
      <c r="C57" s="83" t="n">
        <f aca="false">$B57*p_te*p_ch</f>
        <v>579150</v>
      </c>
      <c r="D57" s="83" t="n">
        <f aca="false">p_V*p_a*(1-$A57)*p_t1*p_ch</f>
        <v>364650</v>
      </c>
      <c r="E57" s="83" t="n">
        <f aca="false">p_V*p_a*(1-$A57)*p_s*p_ts*p_ch</f>
        <v>13856.7</v>
      </c>
      <c r="F57" s="101" t="n">
        <f aca="false">SUM($C57:$E57)</f>
        <v>957656.7</v>
      </c>
      <c r="G57" s="83" t="n">
        <f aca="false">(p_V*p_a*(p_t0*p_ch-$A57*p_te*p_ch-(1-$A57)*p_t1*p_ch-(1-$A57)*p_s*p_ts*p_ch-p_cinf-p_sauto*p_cjuge))*(1-p_delta)-((p_nEval+p_nGouv)*p_Cetp+p_Cint+p_Ccc)-p_lam*p_Cinc</f>
        <v>1015382.475</v>
      </c>
      <c r="H57" s="50" t="n">
        <f aca="false">IF('3. Calculateur'!$C$83=0,"",((1-p_pech)*$G57/(1+p_r)-p_pech*'3. Calculateur'!$C$81)/'3. Calculateur'!$C$83)</f>
        <v>0.330922031957194</v>
      </c>
      <c r="I57" s="102" t="str">
        <f aca="false">IF(ABS($A57-p_e)&lt;p_egrid/100,"Taux retenu par le modèle","")</f>
        <v/>
      </c>
    </row>
    <row r="58" customFormat="false" ht="15.75" hidden="false" customHeight="true" outlineLevel="0" collapsed="false">
      <c r="A58" s="55" t="n">
        <f aca="false">$A57+p_egrid</f>
        <v>0.2</v>
      </c>
      <c r="B58" s="81" t="n">
        <f aca="false">p_V*p_a*$A58</f>
        <v>13200</v>
      </c>
      <c r="C58" s="83" t="n">
        <f aca="false">$B58*p_te*p_ch</f>
        <v>772200</v>
      </c>
      <c r="D58" s="83" t="n">
        <f aca="false">p_V*p_a*(1-$A58)*p_t1*p_ch</f>
        <v>343200</v>
      </c>
      <c r="E58" s="83" t="n">
        <f aca="false">p_V*p_a*(1-$A58)*p_s*p_ts*p_ch</f>
        <v>13041.6</v>
      </c>
      <c r="F58" s="101" t="n">
        <f aca="false">SUM($C58:$E58)</f>
        <v>1128441.6</v>
      </c>
      <c r="G58" s="83" t="n">
        <f aca="false">(p_V*p_a*(p_t0*p_ch-$A58*p_te*p_ch-(1-$A58)*p_t1*p_ch-(1-$A58)*p_s*p_ts*p_ch-p_cinf-p_sauto*p_cjuge))*(1-p_delta)-((p_nEval+p_nGouv)*p_Cetp+p_Cint+p_Ccc)-p_lam*p_Cinc</f>
        <v>887293.8</v>
      </c>
      <c r="H58" s="50" t="n">
        <f aca="false">IF('3. Calculateur'!$C$83=0,"",((1-p_pech)*$G58/(1+p_r)-p_pech*'3. Calculateur'!$C$81)/'3. Calculateur'!$C$83)</f>
        <v>0.258264099266116</v>
      </c>
      <c r="I58" s="102" t="str">
        <f aca="false">IF(ABS($A58-p_e)&lt;p_egrid/100,"Taux retenu par le modèle","")</f>
        <v>Taux retenu par le modèle</v>
      </c>
    </row>
    <row r="59" customFormat="false" ht="15.75" hidden="false" customHeight="true" outlineLevel="0" collapsed="false">
      <c r="A59" s="55" t="n">
        <f aca="false">$A58+p_egrid</f>
        <v>0.25</v>
      </c>
      <c r="B59" s="81" t="n">
        <f aca="false">p_V*p_a*$A59</f>
        <v>16500</v>
      </c>
      <c r="C59" s="83" t="n">
        <f aca="false">$B59*p_te*p_ch</f>
        <v>965250</v>
      </c>
      <c r="D59" s="83" t="n">
        <f aca="false">p_V*p_a*(1-$A59)*p_t1*p_ch</f>
        <v>321750</v>
      </c>
      <c r="E59" s="83" t="n">
        <f aca="false">p_V*p_a*(1-$A59)*p_s*p_ts*p_ch</f>
        <v>12226.5</v>
      </c>
      <c r="F59" s="101" t="n">
        <f aca="false">SUM($C59:$E59)</f>
        <v>1299226.5</v>
      </c>
      <c r="G59" s="83" t="n">
        <f aca="false">(p_V*p_a*(p_t0*p_ch-$A59*p_te*p_ch-(1-$A59)*p_t1*p_ch-(1-$A59)*p_s*p_ts*p_ch-p_cinf-p_sauto*p_cjuge))*(1-p_delta)-((p_nEval+p_nGouv)*p_Cetp+p_Cint+p_Ccc)-p_lam*p_Cinc</f>
        <v>759205.125</v>
      </c>
      <c r="H59" s="50" t="n">
        <f aca="false">IF('3. Calculateur'!$C$83=0,"",((1-p_pech)*$G59/(1+p_r)-p_pech*'3. Calculateur'!$C$81)/'3. Calculateur'!$C$83)</f>
        <v>0.185606166575038</v>
      </c>
      <c r="I59" s="102" t="str">
        <f aca="false">IF(ABS($A59-p_e)&lt;p_egrid/100,"Taux retenu par le modèle","")</f>
        <v/>
      </c>
    </row>
    <row r="60" customFormat="false" ht="15.75" hidden="false" customHeight="true" outlineLevel="0" collapsed="false">
      <c r="A60" s="55" t="n">
        <f aca="false">$A59+p_egrid</f>
        <v>0.3</v>
      </c>
      <c r="B60" s="81" t="n">
        <f aca="false">p_V*p_a*$A60</f>
        <v>19800</v>
      </c>
      <c r="C60" s="83" t="n">
        <f aca="false">$B60*p_te*p_ch</f>
        <v>1158300</v>
      </c>
      <c r="D60" s="83" t="n">
        <f aca="false">p_V*p_a*(1-$A60)*p_t1*p_ch</f>
        <v>300300</v>
      </c>
      <c r="E60" s="83" t="n">
        <f aca="false">p_V*p_a*(1-$A60)*p_s*p_ts*p_ch</f>
        <v>11411.4</v>
      </c>
      <c r="F60" s="101" t="n">
        <f aca="false">SUM($C60:$E60)</f>
        <v>1470011.4</v>
      </c>
      <c r="G60" s="83" t="n">
        <f aca="false">(p_V*p_a*(p_t0*p_ch-$A60*p_te*p_ch-(1-$A60)*p_t1*p_ch-(1-$A60)*p_s*p_ts*p_ch-p_cinf-p_sauto*p_cjuge))*(1-p_delta)-((p_nEval+p_nGouv)*p_Cetp+p_Cint+p_Ccc)-p_lam*p_Cinc</f>
        <v>631116.45</v>
      </c>
      <c r="H60" s="50" t="n">
        <f aca="false">IF('3. Calculateur'!$C$83=0,"",((1-p_pech)*$G60/(1+p_r)-p_pech*'3. Calculateur'!$C$81)/'3. Calculateur'!$C$83)</f>
        <v>0.11294823388396</v>
      </c>
      <c r="I60" s="102" t="str">
        <f aca="false">IF(ABS($A60-p_e)&lt;p_egrid/100,"Taux retenu par le modèle","")</f>
        <v/>
      </c>
    </row>
    <row r="61" customFormat="false" ht="15.75" hidden="false" customHeight="true" outlineLevel="0" collapsed="false">
      <c r="A61" s="55" t="n">
        <f aca="false">$A60+p_egrid</f>
        <v>0.35</v>
      </c>
      <c r="B61" s="81" t="n">
        <f aca="false">p_V*p_a*$A61</f>
        <v>23100</v>
      </c>
      <c r="C61" s="83" t="n">
        <f aca="false">$B61*p_te*p_ch</f>
        <v>1351350</v>
      </c>
      <c r="D61" s="83" t="n">
        <f aca="false">p_V*p_a*(1-$A61)*p_t1*p_ch</f>
        <v>278850</v>
      </c>
      <c r="E61" s="83" t="n">
        <f aca="false">p_V*p_a*(1-$A61)*p_s*p_ts*p_ch</f>
        <v>10596.3</v>
      </c>
      <c r="F61" s="101" t="n">
        <f aca="false">SUM($C61:$E61)</f>
        <v>1640796.3</v>
      </c>
      <c r="G61" s="83" t="n">
        <f aca="false">(p_V*p_a*(p_t0*p_ch-$A61*p_te*p_ch-(1-$A61)*p_t1*p_ch-(1-$A61)*p_s*p_ts*p_ch-p_cinf-p_sauto*p_cjuge))*(1-p_delta)-((p_nEval+p_nGouv)*p_Cetp+p_Cint+p_Ccc)-p_lam*p_Cinc</f>
        <v>503027.775</v>
      </c>
      <c r="H61" s="50" t="n">
        <f aca="false">IF('3. Calculateur'!$C$83=0,"",((1-p_pech)*$G61/(1+p_r)-p_pech*'3. Calculateur'!$C$81)/'3. Calculateur'!$C$83)</f>
        <v>0.0402903011928811</v>
      </c>
      <c r="I61" s="102" t="str">
        <f aca="false">IF(ABS($A61-p_e)&lt;p_egrid/100,"Taux retenu par le modèle","")</f>
        <v/>
      </c>
    </row>
    <row r="62" customFormat="false" ht="15.75" hidden="false" customHeight="true" outlineLevel="0" collapsed="false">
      <c r="A62" s="55" t="n">
        <f aca="false">$A61+p_egrid</f>
        <v>0.4</v>
      </c>
      <c r="B62" s="81" t="n">
        <f aca="false">p_V*p_a*$A62</f>
        <v>26400</v>
      </c>
      <c r="C62" s="83" t="n">
        <f aca="false">$B62*p_te*p_ch</f>
        <v>1544400</v>
      </c>
      <c r="D62" s="83" t="n">
        <f aca="false">p_V*p_a*(1-$A62)*p_t1*p_ch</f>
        <v>257400</v>
      </c>
      <c r="E62" s="83" t="n">
        <f aca="false">p_V*p_a*(1-$A62)*p_s*p_ts*p_ch</f>
        <v>9781.2</v>
      </c>
      <c r="F62" s="101" t="n">
        <f aca="false">SUM($C62:$E62)</f>
        <v>1811581.2</v>
      </c>
      <c r="G62" s="83" t="n">
        <f aca="false">(p_V*p_a*(p_t0*p_ch-$A62*p_te*p_ch-(1-$A62)*p_t1*p_ch-(1-$A62)*p_s*p_ts*p_ch-p_cinf-p_sauto*p_cjuge))*(1-p_delta)-((p_nEval+p_nGouv)*p_Cetp+p_Cint+p_Ccc)-p_lam*p_Cinc</f>
        <v>374939.1</v>
      </c>
      <c r="H62" s="50" t="n">
        <f aca="false">IF('3. Calculateur'!$C$83=0,"",((1-p_pech)*$G62/(1+p_r)-p_pech*'3. Calculateur'!$C$81)/'3. Calculateur'!$C$83)</f>
        <v>-0.0323676314981972</v>
      </c>
      <c r="I62" s="102" t="str">
        <f aca="false">IF(ABS($A62-p_e)&lt;p_egrid/100,"Taux retenu par le modèle","")</f>
        <v/>
      </c>
    </row>
    <row r="63" customFormat="false" ht="15.75" hidden="false" customHeight="true" outlineLevel="0" collapsed="false">
      <c r="A63" s="55" t="n">
        <f aca="false">$A62+p_egrid</f>
        <v>0.45</v>
      </c>
      <c r="B63" s="81" t="n">
        <f aca="false">p_V*p_a*$A63</f>
        <v>29700</v>
      </c>
      <c r="C63" s="83" t="n">
        <f aca="false">$B63*p_te*p_ch</f>
        <v>1737450</v>
      </c>
      <c r="D63" s="83" t="n">
        <f aca="false">p_V*p_a*(1-$A63)*p_t1*p_ch</f>
        <v>235950</v>
      </c>
      <c r="E63" s="83" t="n">
        <f aca="false">p_V*p_a*(1-$A63)*p_s*p_ts*p_ch</f>
        <v>8966.1</v>
      </c>
      <c r="F63" s="101" t="n">
        <f aca="false">SUM($C63:$E63)</f>
        <v>1982366.1</v>
      </c>
      <c r="G63" s="83" t="n">
        <f aca="false">(p_V*p_a*(p_t0*p_ch-$A63*p_te*p_ch-(1-$A63)*p_t1*p_ch-(1-$A63)*p_s*p_ts*p_ch-p_cinf-p_sauto*p_cjuge))*(1-p_delta)-((p_nEval+p_nGouv)*p_Cetp+p_Cint+p_Ccc)-p_lam*p_Cinc</f>
        <v>246850.425</v>
      </c>
      <c r="H63" s="50" t="n">
        <f aca="false">IF('3. Calculateur'!$C$83=0,"",((1-p_pech)*$G63/(1+p_r)-p_pech*'3. Calculateur'!$C$81)/'3. Calculateur'!$C$83)</f>
        <v>-0.105025564189276</v>
      </c>
      <c r="I63" s="102" t="str">
        <f aca="false">IF(ABS($A63-p_e)&lt;p_egrid/100,"Taux retenu par le modèle","")</f>
        <v/>
      </c>
    </row>
    <row r="64" customFormat="false" ht="15.75" hidden="false" customHeight="true" outlineLevel="0" collapsed="false">
      <c r="A64" s="55" t="n">
        <f aca="false">$A63+p_egrid</f>
        <v>0.5</v>
      </c>
      <c r="B64" s="81" t="n">
        <f aca="false">p_V*p_a*$A64</f>
        <v>33000</v>
      </c>
      <c r="C64" s="83" t="n">
        <f aca="false">$B64*p_te*p_ch</f>
        <v>1930500</v>
      </c>
      <c r="D64" s="83" t="n">
        <f aca="false">p_V*p_a*(1-$A64)*p_t1*p_ch</f>
        <v>214500</v>
      </c>
      <c r="E64" s="83" t="n">
        <f aca="false">p_V*p_a*(1-$A64)*p_s*p_ts*p_ch</f>
        <v>8151</v>
      </c>
      <c r="F64" s="101" t="n">
        <f aca="false">SUM($C64:$E64)</f>
        <v>2153151</v>
      </c>
      <c r="G64" s="83" t="n">
        <f aca="false">(p_V*p_a*(p_t0*p_ch-$A64*p_te*p_ch-(1-$A64)*p_t1*p_ch-(1-$A64)*p_s*p_ts*p_ch-p_cinf-p_sauto*p_cjuge))*(1-p_delta)-((p_nEval+p_nGouv)*p_Cetp+p_Cint+p_Ccc)-p_lam*p_Cinc</f>
        <v>118761.75</v>
      </c>
      <c r="H64" s="50" t="n">
        <f aca="false">IF('3. Calculateur'!$C$83=0,"",((1-p_pech)*$G64/(1+p_r)-p_pech*'3. Calculateur'!$C$81)/'3. Calculateur'!$C$83)</f>
        <v>-0.177683496880354</v>
      </c>
      <c r="I64" s="102" t="str">
        <f aca="false">IF(ABS($A64-p_e)&lt;p_egrid/100,"Taux retenu par le modèle","")</f>
        <v/>
      </c>
    </row>
    <row r="66" customFormat="false" ht="19.4" hidden="false" customHeight="false" outlineLevel="0" collapsed="false">
      <c r="A66" s="82" t="s">
        <v>673</v>
      </c>
      <c r="B66" s="80" t="s">
        <v>538</v>
      </c>
      <c r="C66" s="104" t="n">
        <f aca="false">'3. Calculateur'!$C$48</f>
        <v>0.546359192176826</v>
      </c>
      <c r="D66" s="52"/>
      <c r="E66" s="52"/>
      <c r="F66" s="52"/>
      <c r="G66" s="52"/>
      <c r="H66" s="52"/>
      <c r="I66" s="12" t="s">
        <v>674</v>
      </c>
    </row>
    <row r="67" customFormat="false" ht="19.4" hidden="false" customHeight="false" outlineLevel="0" collapsed="false">
      <c r="A67" s="79" t="s">
        <v>675</v>
      </c>
      <c r="B67" s="80"/>
      <c r="C67" s="88" t="n">
        <f aca="false">'3. Calculateur'!$C$48-p_e</f>
        <v>0.346359192176826</v>
      </c>
      <c r="D67" s="52"/>
      <c r="E67" s="52"/>
      <c r="F67" s="52"/>
      <c r="G67" s="52"/>
      <c r="H67" s="52"/>
      <c r="I67" s="12" t="s">
        <v>676</v>
      </c>
    </row>
    <row r="68" customFormat="false" ht="27.75" hidden="false" customHeight="true" outlineLevel="0" collapsed="false">
      <c r="A68" s="25" t="s">
        <v>677</v>
      </c>
      <c r="B68" s="25"/>
      <c r="C68" s="25"/>
      <c r="D68" s="25"/>
      <c r="E68" s="25"/>
      <c r="F68" s="25"/>
      <c r="G68" s="25"/>
      <c r="H68" s="25"/>
      <c r="I68" s="25"/>
    </row>
  </sheetData>
  <mergeCells count="10">
    <mergeCell ref="A1:I1"/>
    <mergeCell ref="A2:I2"/>
    <mergeCell ref="A3:I3"/>
    <mergeCell ref="A5:I5"/>
    <mergeCell ref="A6:I6"/>
    <mergeCell ref="A18:I18"/>
    <mergeCell ref="A20:I20"/>
    <mergeCell ref="A50:I50"/>
    <mergeCell ref="A52:I52"/>
    <mergeCell ref="A68:I68"/>
  </mergeCell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0205B"/>
    <pageSetUpPr fitToPage="true"/>
  </sheetPr>
  <dimension ref="A1:H10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2" ySplit="6" topLeftCell="C7" activePane="bottomRight" state="frozen"/>
      <selection pane="topLeft" activeCell="A1" activeCellId="0" sqref="A1"/>
      <selection pane="topRight" activeCell="C1" activeCellId="0" sqref="C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1" min="1" style="0" width="54"/>
    <col collapsed="false" customWidth="true" hidden="false" outlineLevel="0" max="2" min="2" style="0" width="10"/>
    <col collapsed="false" customWidth="true" hidden="false" outlineLevel="0" max="6" min="3" style="0" width="20"/>
    <col collapsed="false" customWidth="true" hidden="false" outlineLevel="0" max="7" min="7" style="0" width="13"/>
    <col collapsed="false" customWidth="true" hidden="false" outlineLevel="0" max="8" min="8" style="0" width="62"/>
  </cols>
  <sheetData>
    <row r="1" customFormat="false" ht="30" hidden="false" customHeight="true" outlineLevel="0" collapsed="false">
      <c r="A1" s="1" t="s">
        <v>678</v>
      </c>
      <c r="B1" s="1"/>
      <c r="C1" s="1"/>
      <c r="D1" s="1"/>
      <c r="E1" s="1"/>
      <c r="F1" s="1"/>
      <c r="G1" s="1"/>
      <c r="H1" s="1"/>
    </row>
    <row r="2" customFormat="false" ht="19.5" hidden="false" customHeight="true" outlineLevel="0" collapsed="false">
      <c r="A2" s="2" t="s">
        <v>679</v>
      </c>
      <c r="B2" s="2"/>
      <c r="C2" s="2"/>
      <c r="D2" s="2"/>
      <c r="E2" s="2"/>
      <c r="F2" s="2"/>
      <c r="G2" s="2"/>
      <c r="H2" s="2"/>
    </row>
    <row r="3" customFormat="false" ht="15.75" hidden="false" customHeight="true" outlineLevel="0" collapsed="false">
      <c r="A3" s="3" t="s">
        <v>680</v>
      </c>
      <c r="B3" s="3"/>
      <c r="C3" s="3"/>
      <c r="D3" s="3"/>
      <c r="E3" s="3"/>
      <c r="F3" s="3"/>
      <c r="G3" s="3"/>
      <c r="H3" s="3"/>
    </row>
    <row r="5" customFormat="false" ht="18.75" hidden="false" customHeight="true" outlineLevel="0" collapsed="false">
      <c r="A5" s="4" t="s">
        <v>681</v>
      </c>
      <c r="B5" s="4"/>
      <c r="C5" s="4"/>
      <c r="D5" s="4"/>
      <c r="E5" s="4"/>
      <c r="F5" s="4"/>
      <c r="G5" s="4"/>
      <c r="H5" s="4"/>
    </row>
    <row r="6" customFormat="false" ht="30" hidden="false" customHeight="true" outlineLevel="0" collapsed="false">
      <c r="A6" s="8" t="s">
        <v>300</v>
      </c>
      <c r="B6" s="8" t="s">
        <v>79</v>
      </c>
      <c r="C6" s="8" t="s">
        <v>682</v>
      </c>
      <c r="D6" s="8" t="s">
        <v>683</v>
      </c>
      <c r="E6" s="8" t="s">
        <v>684</v>
      </c>
      <c r="F6" s="8" t="s">
        <v>685</v>
      </c>
      <c r="G6" s="8"/>
      <c r="H6" s="8" t="s">
        <v>686</v>
      </c>
    </row>
    <row r="7" customFormat="false" ht="108" hidden="false" customHeight="true" outlineLevel="0" collapsed="false">
      <c r="A7" s="82" t="s">
        <v>687</v>
      </c>
      <c r="B7" s="78"/>
      <c r="C7" s="105" t="s">
        <v>688</v>
      </c>
      <c r="D7" s="105" t="s">
        <v>689</v>
      </c>
      <c r="E7" s="105" t="s">
        <v>690</v>
      </c>
      <c r="F7" s="105" t="s">
        <v>691</v>
      </c>
      <c r="G7" s="52"/>
      <c r="H7" s="12" t="s">
        <v>692</v>
      </c>
    </row>
    <row r="8" customFormat="false" ht="19.4" hidden="false" customHeight="false" outlineLevel="0" collapsed="false">
      <c r="A8" s="79" t="s">
        <v>319</v>
      </c>
      <c r="B8" s="80" t="s">
        <v>126</v>
      </c>
      <c r="C8" s="60" t="n">
        <f aca="false">'2. Hypothèses'!$E$70</f>
        <v>0.275</v>
      </c>
      <c r="D8" s="60" t="n">
        <f aca="false">'2. Hypothèses'!$F$70</f>
        <v>0.55</v>
      </c>
      <c r="E8" s="60" t="n">
        <f aca="false">'2. Hypothèses'!$G$70</f>
        <v>0.55</v>
      </c>
      <c r="F8" s="60" t="n">
        <f aca="false">'2. Hypothèses'!$H$70</f>
        <v>0.8</v>
      </c>
      <c r="G8" s="52"/>
      <c r="H8" s="106" t="str">
        <f aca="false">'2. Hypothèses'!$I$70</f>
        <v>S1 : automatisation réduite de moitié. S4 : 80 %, borne haute Gradient Labs en déploiement mature, déclaratif éditeur.</v>
      </c>
    </row>
    <row r="9" customFormat="false" ht="15" hidden="false" customHeight="false" outlineLevel="0" collapsed="false">
      <c r="A9" s="79" t="s">
        <v>322</v>
      </c>
      <c r="B9" s="80" t="s">
        <v>132</v>
      </c>
      <c r="C9" s="60" t="n">
        <f aca="false">'2. Hypothèses'!$E$71</f>
        <v>0.2</v>
      </c>
      <c r="D9" s="60" t="n">
        <f aca="false">'2. Hypothèses'!$F$71</f>
        <v>0.4</v>
      </c>
      <c r="E9" s="60" t="n">
        <f aca="false">'2. Hypothèses'!$G$71</f>
        <v>0.2</v>
      </c>
      <c r="F9" s="60" t="n">
        <f aca="false">'2. Hypothèses'!$H$71</f>
        <v>0.1</v>
      </c>
      <c r="G9" s="52"/>
      <c r="H9" s="106" t="str">
        <f aca="false">'2. Hypothèses'!$I$71</f>
        <v>S2 : taux doublé. S4 : 10 %, borne basse de la fourchette de travail.</v>
      </c>
    </row>
    <row r="10" customFormat="false" ht="15" hidden="false" customHeight="false" outlineLevel="0" collapsed="false">
      <c r="A10" s="79" t="s">
        <v>316</v>
      </c>
      <c r="B10" s="80" t="s">
        <v>137</v>
      </c>
      <c r="C10" s="60" t="n">
        <f aca="false">'2. Hypothèses'!$E$69</f>
        <v>0.02</v>
      </c>
      <c r="D10" s="60" t="n">
        <f aca="false">'2. Hypothèses'!$F$69</f>
        <v>0.04</v>
      </c>
      <c r="E10" s="60" t="n">
        <f aca="false">'2. Hypothèses'!$G$69</f>
        <v>0.02</v>
      </c>
      <c r="F10" s="60" t="n">
        <f aca="false">'2. Hypothèses'!$H$69</f>
        <v>0.01</v>
      </c>
      <c r="G10" s="52"/>
      <c r="H10" s="106" t="str">
        <f aca="false">'2. Hypothèses'!$I$69</f>
        <v>S2 : taux doublé. S4 : borne basse de la fourchette 1 à 5 %.</v>
      </c>
    </row>
    <row r="11" customFormat="false" ht="19.4" hidden="false" customHeight="false" outlineLevel="0" collapsed="false">
      <c r="A11" s="79" t="s">
        <v>693</v>
      </c>
      <c r="B11" s="80" t="s">
        <v>100</v>
      </c>
      <c r="C11" s="58" t="n">
        <f aca="false">'2. Hypothèses'!$E$66</f>
        <v>0.1</v>
      </c>
      <c r="D11" s="58" t="n">
        <f aca="false">'2. Hypothèses'!$F$66</f>
        <v>0.12</v>
      </c>
      <c r="E11" s="58" t="n">
        <f aca="false">'2. Hypothèses'!$G$66</f>
        <v>0.1</v>
      </c>
      <c r="F11" s="58" t="n">
        <f aca="false">'2. Hypothèses'!$H$66</f>
        <v>0.1</v>
      </c>
      <c r="G11" s="52"/>
      <c r="H11" s="106" t="str">
        <f aca="false">'2. Hypothèses'!$I$66</f>
        <v>S2 : temps de validation par dossier majoré de 20 %, le contrôle prend le temps qu’il prend réellement.</v>
      </c>
    </row>
    <row r="12" customFormat="false" ht="19.4" hidden="false" customHeight="false" outlineLevel="0" collapsed="false">
      <c r="A12" s="79" t="s">
        <v>310</v>
      </c>
      <c r="B12" s="80" t="s">
        <v>105</v>
      </c>
      <c r="C12" s="58" t="n">
        <f aca="false">'2. Hypothèses'!$E$67</f>
        <v>0.9</v>
      </c>
      <c r="D12" s="58" t="n">
        <f aca="false">'2. Hypothèses'!$F$67</f>
        <v>0.9</v>
      </c>
      <c r="E12" s="58" t="n">
        <f aca="false">'2. Hypothèses'!$G$67</f>
        <v>0.9</v>
      </c>
      <c r="F12" s="58" t="n">
        <f aca="false">'2. Hypothèses'!$H$67</f>
        <v>0.75</v>
      </c>
      <c r="G12" s="52"/>
      <c r="H12" s="106" t="str">
        <f aca="false">'2. Hypothèses'!$I$67</f>
        <v>S4 : borne basse documentée, te = 1,0 × t0, reprise sans coût de reconstitution du contexte.</v>
      </c>
    </row>
    <row r="13" customFormat="false" ht="15" hidden="false" customHeight="false" outlineLevel="0" collapsed="false">
      <c r="A13" s="79" t="s">
        <v>313</v>
      </c>
      <c r="B13" s="80" t="s">
        <v>110</v>
      </c>
      <c r="C13" s="59" t="n">
        <f aca="false">'2. Hypothèses'!$E$68</f>
        <v>0.19</v>
      </c>
      <c r="D13" s="59" t="n">
        <f aca="false">'2. Hypothèses'!$F$68</f>
        <v>0.19</v>
      </c>
      <c r="E13" s="59" t="n">
        <f aca="false">'2. Hypothèses'!$G$68</f>
        <v>0.19</v>
      </c>
      <c r="F13" s="59" t="n">
        <f aca="false">'2. Hypothèses'!$H$68</f>
        <v>0.19</v>
      </c>
      <c r="G13" s="52"/>
      <c r="H13" s="106" t="str">
        <f aca="false">'2. Hypothèses'!$I$68</f>
        <v>Inchangé dans les quatre scénarios, aucune source publiée ne permet de le faire varier.</v>
      </c>
    </row>
    <row r="14" customFormat="false" ht="19.4" hidden="false" customHeight="false" outlineLevel="0" collapsed="false">
      <c r="A14" s="79" t="s">
        <v>325</v>
      </c>
      <c r="B14" s="80" t="s">
        <v>153</v>
      </c>
      <c r="C14" s="61" t="n">
        <f aca="false">'2. Hypothèses'!$E$72</f>
        <v>2</v>
      </c>
      <c r="D14" s="61" t="n">
        <f aca="false">'2. Hypothèses'!$F$72</f>
        <v>1</v>
      </c>
      <c r="E14" s="61" t="n">
        <f aca="false">'2. Hypothèses'!$G$72</f>
        <v>1</v>
      </c>
      <c r="F14" s="61" t="n">
        <f aca="false">'2. Hypothèses'!$H$72</f>
        <v>0.5</v>
      </c>
      <c r="G14" s="52"/>
      <c r="H14" s="106" t="str">
        <f aca="false">'2. Hypothèses'!$I$72</f>
        <v>S1 : coût doublé. S4 : coût divisé par deux, par mise en cache, réduction du périmètre outillé et spécialisation des agents.</v>
      </c>
    </row>
    <row r="15" customFormat="false" ht="15" hidden="false" customHeight="false" outlineLevel="0" collapsed="false">
      <c r="A15" s="79" t="s">
        <v>328</v>
      </c>
      <c r="B15" s="80" t="s">
        <v>163</v>
      </c>
      <c r="C15" s="62" t="n">
        <f aca="false">'2. Hypothèses'!$E$73</f>
        <v>0.5</v>
      </c>
      <c r="D15" s="62" t="n">
        <f aca="false">'2. Hypothèses'!$F$73</f>
        <v>0.5</v>
      </c>
      <c r="E15" s="62" t="n">
        <f aca="false">'2. Hypothèses'!$G$73</f>
        <v>0.5</v>
      </c>
      <c r="F15" s="62" t="n">
        <f aca="false">'2. Hypothèses'!$H$73</f>
        <v>0</v>
      </c>
      <c r="G15" s="52"/>
      <c r="H15" s="106" t="str">
        <f aca="false">'2. Hypothèses'!$I$73</f>
        <v>S4 : borne basse de la fourchette 0 à +100 % par an. Jamais de valeur négative.</v>
      </c>
    </row>
    <row r="16" customFormat="false" ht="15" hidden="false" customHeight="false" outlineLevel="0" collapsed="false">
      <c r="A16" s="79" t="s">
        <v>145</v>
      </c>
      <c r="B16" s="80" t="s">
        <v>146</v>
      </c>
      <c r="C16" s="60" t="n">
        <f aca="false">'2. Hypothèses'!$E$74</f>
        <v>0.05</v>
      </c>
      <c r="D16" s="60" t="n">
        <f aca="false">'2. Hypothèses'!$F$74</f>
        <v>0.05</v>
      </c>
      <c r="E16" s="60" t="n">
        <f aca="false">'2. Hypothèses'!$G$74</f>
        <v>0.05</v>
      </c>
      <c r="F16" s="60" t="n">
        <f aca="false">'2. Hypothèses'!$H$74</f>
        <v>0</v>
      </c>
      <c r="G16" s="52"/>
      <c r="H16" s="106" t="str">
        <f aca="false">'2. Hypothèses'!$I$74</f>
        <v>S4 : borne basse de la fourchette 0 à 10 % par an.</v>
      </c>
    </row>
    <row r="17" customFormat="false" ht="15" hidden="false" customHeight="false" outlineLevel="0" collapsed="false">
      <c r="A17" s="79" t="s">
        <v>333</v>
      </c>
      <c r="B17" s="80" t="s">
        <v>225</v>
      </c>
      <c r="C17" s="62" t="n">
        <f aca="false">'2. Hypothèses'!$E$75</f>
        <v>0.3</v>
      </c>
      <c r="D17" s="62" t="n">
        <f aca="false">'2. Hypothèses'!$F$75</f>
        <v>0.25</v>
      </c>
      <c r="E17" s="62" t="n">
        <f aca="false">'2. Hypothèses'!$G$75</f>
        <v>0.25</v>
      </c>
      <c r="F17" s="62" t="n">
        <f aca="false">'2. Hypothèses'!$H$75</f>
        <v>0.2</v>
      </c>
      <c r="G17" s="52"/>
      <c r="H17" s="106" t="str">
        <f aca="false">'2. Hypothèses'!$I$75</f>
        <v>S1 : borne haute 30 %. S4 : borne basse 20 %. Fourchette documentée 20 à 30 %.</v>
      </c>
    </row>
    <row r="18" customFormat="false" ht="15" hidden="false" customHeight="false" outlineLevel="0" collapsed="false">
      <c r="A18" s="79" t="s">
        <v>198</v>
      </c>
      <c r="B18" s="80" t="s">
        <v>199</v>
      </c>
      <c r="C18" s="62" t="n">
        <f aca="false">'2. Hypothèses'!$E$76</f>
        <v>0.6</v>
      </c>
      <c r="D18" s="62" t="n">
        <f aca="false">'2. Hypothèses'!$F$76</f>
        <v>0.45</v>
      </c>
      <c r="E18" s="62" t="n">
        <f aca="false">'2. Hypothèses'!$G$76</f>
        <v>0.45</v>
      </c>
      <c r="F18" s="62" t="n">
        <f aca="false">'2. Hypothèses'!$H$76</f>
        <v>0.45</v>
      </c>
      <c r="G18" s="52"/>
      <c r="H18" s="106" t="str">
        <f aca="false">'2. Hypothèses'!$I$76</f>
        <v>S1 : borne haute 60 % de la fourchette documentée 40 à 60 %.</v>
      </c>
    </row>
    <row r="19" customFormat="false" ht="19.4" hidden="false" customHeight="false" outlineLevel="0" collapsed="false">
      <c r="A19" s="79" t="s">
        <v>203</v>
      </c>
      <c r="B19" s="80" t="s">
        <v>204</v>
      </c>
      <c r="C19" s="63" t="n">
        <f aca="false">'2. Hypothèses'!$E$77</f>
        <v>1</v>
      </c>
      <c r="D19" s="63" t="n">
        <f aca="false">'2. Hypothèses'!$F$77</f>
        <v>1</v>
      </c>
      <c r="E19" s="63" t="n">
        <f aca="false">'2. Hypothèses'!$G$77</f>
        <v>1</v>
      </c>
      <c r="F19" s="63" t="n">
        <f aca="false">'2. Hypothèses'!$H$77</f>
        <v>0.5</v>
      </c>
      <c r="G19" s="52"/>
      <c r="H19" s="106" t="str">
        <f aca="false">'2. Hypothèses'!$I$77</f>
        <v>S4 : un incident matériel tous les deux ans. Aucun taux d’incident agentique n’étant publié, la borne basse reste une hypothèse.</v>
      </c>
    </row>
    <row r="20" customFormat="false" ht="15" hidden="false" customHeight="false" outlineLevel="0" collapsed="false">
      <c r="A20" s="79" t="s">
        <v>208</v>
      </c>
      <c r="B20" s="80" t="s">
        <v>209</v>
      </c>
      <c r="C20" s="64" t="n">
        <f aca="false">'2. Hypothèses'!$E$78</f>
        <v>300000</v>
      </c>
      <c r="D20" s="64" t="n">
        <f aca="false">'2. Hypothèses'!$F$78</f>
        <v>150000</v>
      </c>
      <c r="E20" s="64" t="n">
        <f aca="false">'2. Hypothèses'!$G$78</f>
        <v>150000</v>
      </c>
      <c r="F20" s="64" t="n">
        <f aca="false">'2. Hypothèses'!$H$78</f>
        <v>150000</v>
      </c>
      <c r="G20" s="52"/>
      <c r="H20" s="106" t="str">
        <f aca="false">'2. Hypothèses'!$I$78</f>
        <v>S1 : coût doublé, ordre de grandeur d’une sanction cumulée à une remédiation.</v>
      </c>
    </row>
    <row r="21" customFormat="false" ht="15" hidden="false" customHeight="false" outlineLevel="0" collapsed="false">
      <c r="A21" s="79" t="s">
        <v>188</v>
      </c>
      <c r="B21" s="80" t="s">
        <v>189</v>
      </c>
      <c r="C21" s="63" t="n">
        <f aca="false">'2. Hypothèses'!$E$79</f>
        <v>1.5</v>
      </c>
      <c r="D21" s="63" t="n">
        <f aca="false">'2. Hypothèses'!$F$79</f>
        <v>2.25</v>
      </c>
      <c r="E21" s="63" t="n">
        <f aca="false">'2. Hypothèses'!$G$79</f>
        <v>1.5</v>
      </c>
      <c r="F21" s="63" t="n">
        <f aca="false">'2. Hypothèses'!$H$79</f>
        <v>1.5</v>
      </c>
      <c r="G21" s="52"/>
      <c r="H21" s="106" t="str">
        <f aca="false">'2. Hypothèses'!$I$79</f>
        <v>S2 : évaluation majorée de moitié.</v>
      </c>
    </row>
    <row r="22" customFormat="false" ht="15" hidden="false" customHeight="false" outlineLevel="0" collapsed="false">
      <c r="A22" s="79" t="s">
        <v>345</v>
      </c>
      <c r="B22" s="80" t="s">
        <v>194</v>
      </c>
      <c r="C22" s="63" t="n">
        <f aca="false">'2. Hypothèses'!$E$80</f>
        <v>0.75</v>
      </c>
      <c r="D22" s="63" t="n">
        <f aca="false">'2. Hypothèses'!$F$80</f>
        <v>1.125</v>
      </c>
      <c r="E22" s="63" t="n">
        <f aca="false">'2. Hypothèses'!$G$80</f>
        <v>0.75</v>
      </c>
      <c r="F22" s="63" t="n">
        <f aca="false">'2. Hypothèses'!$H$80</f>
        <v>0.75</v>
      </c>
      <c r="G22" s="52"/>
      <c r="H22" s="106" t="str">
        <f aca="false">'2. Hypothèses'!$I$80</f>
        <v>S2 : gouvernance majorée de moitié.</v>
      </c>
    </row>
    <row r="23" customFormat="false" ht="15.75" hidden="false" customHeight="true" outlineLevel="0" collapsed="false">
      <c r="A23" s="26" t="s">
        <v>694</v>
      </c>
      <c r="B23" s="26"/>
      <c r="C23" s="26"/>
      <c r="D23" s="26"/>
      <c r="E23" s="26"/>
      <c r="F23" s="26"/>
      <c r="G23" s="26"/>
      <c r="H23" s="26"/>
    </row>
    <row r="24" customFormat="false" ht="15.75" hidden="false" customHeight="true" outlineLevel="0" collapsed="false">
      <c r="A24" s="10" t="s">
        <v>352</v>
      </c>
      <c r="B24" s="78"/>
      <c r="C24" s="107" t="n">
        <f aca="false">p_V</f>
        <v>120000</v>
      </c>
      <c r="D24" s="107"/>
      <c r="E24" s="107"/>
      <c r="F24" s="107"/>
      <c r="G24" s="52"/>
      <c r="H24" s="52"/>
    </row>
    <row r="25" customFormat="false" ht="15.75" hidden="false" customHeight="true" outlineLevel="0" collapsed="false">
      <c r="A25" s="10" t="s">
        <v>94</v>
      </c>
      <c r="B25" s="78"/>
      <c r="C25" s="108" t="n">
        <f aca="false">p_t0</f>
        <v>0.75</v>
      </c>
      <c r="D25" s="108"/>
      <c r="E25" s="108"/>
      <c r="F25" s="108"/>
      <c r="G25" s="52"/>
      <c r="H25" s="52"/>
    </row>
    <row r="26" customFormat="false" ht="15.75" hidden="false" customHeight="true" outlineLevel="0" collapsed="false">
      <c r="A26" s="10" t="s">
        <v>695</v>
      </c>
      <c r="B26" s="78"/>
      <c r="C26" s="109" t="n">
        <f aca="false">p_ch</f>
        <v>65</v>
      </c>
      <c r="D26" s="109"/>
      <c r="E26" s="109"/>
      <c r="F26" s="109"/>
      <c r="G26" s="52"/>
      <c r="H26" s="52"/>
    </row>
    <row r="27" customFormat="false" ht="15.75" hidden="false" customHeight="true" outlineLevel="0" collapsed="false">
      <c r="A27" s="10" t="s">
        <v>696</v>
      </c>
      <c r="B27" s="78"/>
      <c r="C27" s="107" t="n">
        <f aca="false">p_H</f>
        <v>1607</v>
      </c>
      <c r="D27" s="107"/>
      <c r="E27" s="107"/>
      <c r="F27" s="107"/>
      <c r="G27" s="52"/>
      <c r="H27" s="52"/>
    </row>
    <row r="28" customFormat="false" ht="15.75" hidden="false" customHeight="true" outlineLevel="0" collapsed="false">
      <c r="A28" s="10" t="s">
        <v>697</v>
      </c>
      <c r="B28" s="78"/>
      <c r="C28" s="110" t="n">
        <f aca="false">p_sauto</f>
        <v>1</v>
      </c>
      <c r="D28" s="110"/>
      <c r="E28" s="110"/>
      <c r="F28" s="110"/>
      <c r="G28" s="52"/>
      <c r="H28" s="52"/>
    </row>
    <row r="29" customFormat="false" ht="15.75" hidden="false" customHeight="true" outlineLevel="0" collapsed="false">
      <c r="A29" s="10" t="s">
        <v>698</v>
      </c>
      <c r="B29" s="78"/>
      <c r="C29" s="109" t="n">
        <f aca="false">p_cjuge</f>
        <v>0</v>
      </c>
      <c r="D29" s="109"/>
      <c r="E29" s="109"/>
      <c r="F29" s="109"/>
      <c r="G29" s="52"/>
      <c r="H29" s="52"/>
    </row>
    <row r="30" customFormat="false" ht="15.75" hidden="false" customHeight="true" outlineLevel="0" collapsed="false">
      <c r="A30" s="10" t="s">
        <v>361</v>
      </c>
      <c r="B30" s="78"/>
      <c r="C30" s="111" t="n">
        <f aca="false">p_Cint</f>
        <v>150000</v>
      </c>
      <c r="D30" s="111"/>
      <c r="E30" s="111"/>
      <c r="F30" s="111"/>
      <c r="G30" s="52"/>
      <c r="H30" s="52"/>
    </row>
    <row r="31" customFormat="false" ht="15.75" hidden="false" customHeight="true" outlineLevel="0" collapsed="false">
      <c r="A31" s="10" t="s">
        <v>584</v>
      </c>
      <c r="B31" s="78"/>
      <c r="C31" s="111" t="n">
        <f aca="false">p_Ccc</f>
        <v>60000</v>
      </c>
      <c r="D31" s="111"/>
      <c r="E31" s="111"/>
      <c r="F31" s="111"/>
      <c r="G31" s="52"/>
      <c r="H31" s="52"/>
    </row>
    <row r="32" customFormat="false" ht="15.75" hidden="false" customHeight="true" outlineLevel="0" collapsed="false">
      <c r="A32" s="10" t="s">
        <v>699</v>
      </c>
      <c r="B32" s="78"/>
      <c r="C32" s="111" t="n">
        <f aca="false">p_Cetp</f>
        <v>120000</v>
      </c>
      <c r="D32" s="111"/>
      <c r="E32" s="111"/>
      <c r="F32" s="111"/>
      <c r="G32" s="52"/>
      <c r="H32" s="52"/>
    </row>
    <row r="33" customFormat="false" ht="15.75" hidden="false" customHeight="true" outlineLevel="0" collapsed="false">
      <c r="A33" s="10" t="s">
        <v>700</v>
      </c>
      <c r="B33" s="78"/>
      <c r="C33" s="112" t="n">
        <f aca="false">p_r</f>
        <v>0.1</v>
      </c>
      <c r="D33" s="112"/>
      <c r="E33" s="112"/>
      <c r="F33" s="112"/>
      <c r="G33" s="52"/>
      <c r="H33" s="52"/>
    </row>
    <row r="34" customFormat="false" ht="15.75" hidden="false" customHeight="true" outlineLevel="0" collapsed="false">
      <c r="A34" s="10" t="s">
        <v>218</v>
      </c>
      <c r="B34" s="78"/>
      <c r="C34" s="107" t="n">
        <f aca="false">p_horiz</f>
        <v>3</v>
      </c>
      <c r="D34" s="107"/>
      <c r="E34" s="107"/>
      <c r="F34" s="107"/>
      <c r="G34" s="52"/>
      <c r="H34" s="52"/>
    </row>
    <row r="36" customFormat="false" ht="18.75" hidden="false" customHeight="true" outlineLevel="0" collapsed="false">
      <c r="A36" s="4" t="s">
        <v>701</v>
      </c>
      <c r="B36" s="4"/>
      <c r="C36" s="4"/>
      <c r="D36" s="4"/>
      <c r="E36" s="4"/>
      <c r="F36" s="4"/>
      <c r="G36" s="4"/>
      <c r="H36" s="4"/>
    </row>
    <row r="37" customFormat="false" ht="30" hidden="false" customHeight="true" outlineLevel="0" collapsed="false">
      <c r="A37" s="8" t="s">
        <v>24</v>
      </c>
      <c r="B37" s="8" t="s">
        <v>79</v>
      </c>
      <c r="C37" s="8" t="s">
        <v>682</v>
      </c>
      <c r="D37" s="8" t="s">
        <v>683</v>
      </c>
      <c r="E37" s="8" t="s">
        <v>684</v>
      </c>
      <c r="F37" s="8" t="s">
        <v>685</v>
      </c>
      <c r="G37" s="8" t="s">
        <v>702</v>
      </c>
      <c r="H37" s="8" t="s">
        <v>439</v>
      </c>
    </row>
    <row r="38" customFormat="false" ht="15" hidden="false" customHeight="false" outlineLevel="0" collapsed="false">
      <c r="A38" s="79" t="s">
        <v>440</v>
      </c>
      <c r="B38" s="80" t="s">
        <v>441</v>
      </c>
      <c r="C38" s="81" t="n">
        <f aca="false">p_V*$C$8</f>
        <v>33000</v>
      </c>
      <c r="D38" s="81" t="n">
        <f aca="false">p_V*$D$8</f>
        <v>66000</v>
      </c>
      <c r="E38" s="81" t="n">
        <f aca="false">p_V*$E$8</f>
        <v>66000</v>
      </c>
      <c r="F38" s="81" t="n">
        <f aca="false">p_V*$F$8</f>
        <v>96000</v>
      </c>
      <c r="G38" s="92"/>
      <c r="H38" s="12" t="s">
        <v>703</v>
      </c>
    </row>
    <row r="39" customFormat="false" ht="15" hidden="false" customHeight="false" outlineLevel="0" collapsed="false">
      <c r="A39" s="79" t="s">
        <v>704</v>
      </c>
      <c r="B39" s="80" t="s">
        <v>444</v>
      </c>
      <c r="C39" s="81" t="n">
        <f aca="false">p_V*(1-$C$8)</f>
        <v>87000</v>
      </c>
      <c r="D39" s="81" t="n">
        <f aca="false">p_V*(1-$D$8)</f>
        <v>54000</v>
      </c>
      <c r="E39" s="81" t="n">
        <f aca="false">p_V*(1-$E$8)</f>
        <v>54000</v>
      </c>
      <c r="F39" s="81" t="n">
        <f aca="false">p_V*(1-$F$8)</f>
        <v>24000</v>
      </c>
      <c r="G39" s="92"/>
      <c r="H39" s="12" t="s">
        <v>705</v>
      </c>
    </row>
    <row r="40" customFormat="false" ht="15" hidden="false" customHeight="false" outlineLevel="0" collapsed="false">
      <c r="A40" s="79" t="s">
        <v>668</v>
      </c>
      <c r="B40" s="80" t="s">
        <v>447</v>
      </c>
      <c r="C40" s="81" t="n">
        <f aca="false">p_V*$C$8*$C$9</f>
        <v>6600</v>
      </c>
      <c r="D40" s="81" t="n">
        <f aca="false">p_V*$D$8*$D$9</f>
        <v>26400</v>
      </c>
      <c r="E40" s="81" t="n">
        <f aca="false">p_V*$E$8*$E$9</f>
        <v>13200</v>
      </c>
      <c r="F40" s="81" t="n">
        <f aca="false">p_V*$F$8*$F$9</f>
        <v>9600</v>
      </c>
      <c r="G40" s="92"/>
      <c r="H40" s="12" t="s">
        <v>706</v>
      </c>
    </row>
    <row r="41" customFormat="false" ht="15" hidden="false" customHeight="false" outlineLevel="0" collapsed="false">
      <c r="A41" s="79" t="s">
        <v>449</v>
      </c>
      <c r="B41" s="80" t="s">
        <v>450</v>
      </c>
      <c r="C41" s="81" t="n">
        <f aca="false">p_V*$C$8*(1-$C$9)</f>
        <v>26400</v>
      </c>
      <c r="D41" s="81" t="n">
        <f aca="false">p_V*$D$8*(1-$D$9)</f>
        <v>39600</v>
      </c>
      <c r="E41" s="81" t="n">
        <f aca="false">p_V*$E$8*(1-$E$9)</f>
        <v>52800</v>
      </c>
      <c r="F41" s="81" t="n">
        <f aca="false">p_V*$F$8*(1-$F$9)</f>
        <v>86400</v>
      </c>
      <c r="G41" s="92"/>
      <c r="H41" s="12" t="s">
        <v>707</v>
      </c>
    </row>
    <row r="42" customFormat="false" ht="15" hidden="false" customHeight="false" outlineLevel="0" collapsed="false">
      <c r="A42" s="79" t="s">
        <v>708</v>
      </c>
      <c r="B42" s="80" t="s">
        <v>460</v>
      </c>
      <c r="C42" s="83" t="n">
        <f aca="false">p_V*p_t0*p_ch</f>
        <v>5850000</v>
      </c>
      <c r="D42" s="83" t="n">
        <f aca="false">p_V*p_t0*p_ch</f>
        <v>5850000</v>
      </c>
      <c r="E42" s="83" t="n">
        <f aca="false">p_V*p_t0*p_ch</f>
        <v>5850000</v>
      </c>
      <c r="F42" s="83" t="n">
        <f aca="false">p_V*p_t0*p_ch</f>
        <v>5850000</v>
      </c>
      <c r="G42" s="92"/>
      <c r="H42" s="12" t="s">
        <v>709</v>
      </c>
    </row>
    <row r="43" customFormat="false" ht="15.75" hidden="false" customHeight="true" outlineLevel="0" collapsed="false">
      <c r="A43" s="26" t="s">
        <v>710</v>
      </c>
      <c r="B43" s="26"/>
      <c r="C43" s="26"/>
      <c r="D43" s="26"/>
      <c r="E43" s="26"/>
      <c r="F43" s="26"/>
      <c r="G43" s="26"/>
      <c r="H43" s="26"/>
    </row>
    <row r="44" customFormat="false" ht="19.4" hidden="false" customHeight="false" outlineLevel="0" collapsed="false">
      <c r="A44" s="79" t="s">
        <v>711</v>
      </c>
      <c r="B44" s="113" t="n">
        <f aca="false">ROW()-ROW($B$43)</f>
        <v>1</v>
      </c>
      <c r="C44" s="83" t="n">
        <f aca="false">IF($B44&lt;=p_horiz,(p_V*$C$8*(p_t0*p_ch-$C$9*$C$12*p_ch-(1-$C$9)*$C$11*p_ch-(1-$C$9)*$C$10*$C$13*p_ch-$C$14*(1+$C$15)^($B44-1)-p_sauto*p_cjuge))*(1-$C$17)*(1-$C$16)^($B44-1)-(($C$21+$C$22)*p_Cetp+IF($B44=1,p_Cint+p_Ccc,0))-$C$19*$C$20,0)</f>
        <v>-95029.5600000003</v>
      </c>
      <c r="D44" s="83" t="n">
        <f aca="false">IF($B44&lt;=p_horiz,(p_V*$D$8*(p_t0*p_ch-$D$9*$D$12*p_ch-(1-$D$9)*$D$11*p_ch-(1-$D$9)*$D$10*$D$13*p_ch-$D$14*(1+$D$15)^($B44-1)-p_sauto*p_cjuge))*(1-$D$17)*(1-$D$16)^($B44-1)-(($D$21+$D$22)*p_Cetp+IF($B44=1,p_Cint+p_Ccc,0))-$D$19*$D$20,0)</f>
        <v>193993.2</v>
      </c>
      <c r="E44" s="83" t="n">
        <f aca="false">IF($B44&lt;=p_horiz,(p_V*$E$8*(p_t0*p_ch-$E$9*$E$12*p_ch-(1-$E$9)*$E$11*p_ch-(1-$E$9)*$E$10*$E$13*p_ch-$E$14*(1+$E$15)^($B44-1)-p_sauto*p_cjuge))*(1-$E$17)*(1-$E$16)^($B44-1)-(($E$21+$E$22)*p_Cetp+IF($B44=1,p_Cint+p_Ccc,0))-$E$19*$E$20,0)</f>
        <v>887293.8</v>
      </c>
      <c r="F44" s="83" t="n">
        <f aca="false">IF($B44&lt;=p_horiz,(p_V*$F$8*(p_t0*p_ch-$F$9*$F$12*p_ch-(1-$F$9)*$F$11*p_ch-(1-$F$9)*$F$10*$F$13*p_ch-$F$14*(1+$F$15)^($B44-1)-p_sauto*p_cjuge))*(1-$F$17)*(1-$F$16)^($B44-1)-(($F$21+$F$22)*p_Cetp+IF($B44=1,p_Cint+p_Ccc,0))-$F$19*$F$20,0)</f>
        <v>2318383.68</v>
      </c>
      <c r="G44" s="114" t="n">
        <f aca="false">1/(1+p_r)^$B44</f>
        <v>0.909090909090909</v>
      </c>
      <c r="H44" s="12" t="s">
        <v>712</v>
      </c>
    </row>
    <row r="45" customFormat="false" ht="15" hidden="false" customHeight="false" outlineLevel="0" collapsed="false">
      <c r="A45" s="79" t="s">
        <v>713</v>
      </c>
      <c r="B45" s="113" t="n">
        <f aca="false">ROW()-ROW($B$43)</f>
        <v>2</v>
      </c>
      <c r="C45" s="83" t="n">
        <f aca="false">IF($B45&lt;=p_horiz,(p_V*$C$8*(p_t0*p_ch-$C$9*$C$12*p_ch-(1-$C$9)*$C$11*p_ch-(1-$C$9)*$C$10*$C$13*p_ch-$C$14*(1+$C$15)^($B45-1)-p_sauto*p_cjuge))*(1-$C$17)*(1-$C$16)^($B45-1)-(($C$21+$C$22)*p_Cetp+IF($B45=1,p_Cint+p_Ccc,0))-$C$19*$C$20,0)</f>
        <v>58776.9179999997</v>
      </c>
      <c r="D45" s="83" t="n">
        <f aca="false">IF($B45&lt;=p_horiz,(p_V*$D$8*(p_t0*p_ch-$D$9*$D$12*p_ch-(1-$D$9)*$D$11*p_ch-(1-$D$9)*$D$10*$D$13*p_ch-$D$14*(1+$D$15)^($B45-1)-p_sauto*p_cjuge))*(1-$D$17)*(1-$D$16)^($B45-1)-(($D$21+$D$22)*p_Cetp+IF($B45=1,p_Cint+p_Ccc,0))-$D$19*$D$20,0)</f>
        <v>332531.04</v>
      </c>
      <c r="E45" s="83" t="n">
        <f aca="false">IF($B45&lt;=p_horiz,(p_V*$E$8*(p_t0*p_ch-$E$9*$E$12*p_ch-(1-$E$9)*$E$11*p_ch-(1-$E$9)*$E$10*$E$13*p_ch-$E$14*(1+$E$15)^($B45-1)-p_sauto*p_cjuge))*(1-$E$17)*(1-$E$16)^($B45-1)-(($E$21+$E$22)*p_Cetp+IF($B45=1,p_Cint+p_Ccc,0))-$E$19*$E$20,0)</f>
        <v>997916.61</v>
      </c>
      <c r="F45" s="83" t="n">
        <f aca="false">IF($B45&lt;=p_horiz,(p_V*$F$8*(p_t0*p_ch-$F$9*$F$12*p_ch-(1-$F$9)*$F$11*p_ch-(1-$F$9)*$F$10*$F$13*p_ch-$F$14*(1+$F$15)^($B45-1)-p_sauto*p_cjuge))*(1-$F$17)*(1-$F$16)^($B45-1)-(($F$21+$F$22)*p_Cetp+IF($B45=1,p_Cint+p_Ccc,0))-$F$19*$F$20,0)</f>
        <v>2528383.68</v>
      </c>
      <c r="G45" s="114" t="n">
        <f aca="false">1/(1+p_r)^$B45</f>
        <v>0.826446280991735</v>
      </c>
      <c r="H45" s="12"/>
    </row>
    <row r="46" customFormat="false" ht="15" hidden="false" customHeight="false" outlineLevel="0" collapsed="false">
      <c r="A46" s="79" t="s">
        <v>714</v>
      </c>
      <c r="B46" s="113" t="n">
        <f aca="false">ROW()-ROW($B$43)</f>
        <v>3</v>
      </c>
      <c r="C46" s="83" t="n">
        <f aca="false">IF($B46&lt;=p_horiz,(p_V*$C$8*(p_t0*p_ch-$C$9*$C$12*p_ch-(1-$C$9)*$C$11*p_ch-(1-$C$9)*$C$10*$C$13*p_ch-$C$14*(1+$C$15)^($B46-1)-p_sauto*p_cjuge))*(1-$C$17)*(1-$C$16)^($B46-1)-(($C$21+$C$22)*p_Cetp+IF($B46=1,p_Cint+p_Ccc,0))-$C$19*$C$20,0)</f>
        <v>-3933.55290000024</v>
      </c>
      <c r="D46" s="83" t="n">
        <f aca="false">IF($B46&lt;=p_horiz,(p_V*$D$8*(p_t0*p_ch-$D$9*$D$12*p_ch-(1-$D$9)*$D$11*p_ch-(1-$D$9)*$D$10*$D$13*p_ch-$D$14*(1+$D$15)^($B46-1)-p_sauto*p_cjuge))*(1-$D$17)*(1-$D$16)^($B46-1)-(($D$21+$D$22)*p_Cetp+IF($B46=1,p_Cint+p_Ccc,0))-$D$19*$D$20,0)</f>
        <v>254649.1755</v>
      </c>
      <c r="E46" s="83" t="n">
        <f aca="false">IF($B46&lt;=p_horiz,(p_V*$E$8*(p_t0*p_ch-$E$9*$E$12*p_ch-(1-$E$9)*$E$11*p_ch-(1-$E$9)*$E$10*$E$13*p_ch-$E$14*(1+$E$15)^($B46-1)-p_sauto*p_cjuge))*(1-$E$17)*(1-$E$16)^($B46-1)-(($E$21+$E$22)*p_Cetp+IF($B46=1,p_Cint+p_Ccc,0))-$E$19*$E$20,0)</f>
        <v>893515.467</v>
      </c>
      <c r="F46" s="83" t="n">
        <f aca="false">IF($B46&lt;=p_horiz,(p_V*$F$8*(p_t0*p_ch-$F$9*$F$12*p_ch-(1-$F$9)*$F$11*p_ch-(1-$F$9)*$F$10*$F$13*p_ch-$F$14*(1+$F$15)^($B46-1)-p_sauto*p_cjuge))*(1-$F$17)*(1-$F$16)^($B46-1)-(($F$21+$F$22)*p_Cetp+IF($B46=1,p_Cint+p_Ccc,0))-$F$19*$F$20,0)</f>
        <v>2528383.68</v>
      </c>
      <c r="G46" s="114" t="n">
        <f aca="false">1/(1+p_r)^$B46</f>
        <v>0.751314800901578</v>
      </c>
      <c r="H46" s="12"/>
    </row>
    <row r="47" customFormat="false" ht="15" hidden="false" customHeight="false" outlineLevel="0" collapsed="false">
      <c r="A47" s="79" t="s">
        <v>715</v>
      </c>
      <c r="B47" s="113" t="n">
        <f aca="false">ROW()-ROW($B$43)</f>
        <v>4</v>
      </c>
      <c r="C47" s="83" t="n">
        <f aca="false">IF($B47&lt;=p_horiz,(p_V*$C$8*(p_t0*p_ch-$C$9*$C$12*p_ch-(1-$C$9)*$C$11*p_ch-(1-$C$9)*$C$10*$C$13*p_ch-$C$14*(1+$C$15)^($B47-1)-p_sauto*p_cjuge))*(1-$C$17)*(1-$C$16)^($B47-1)-(($C$21+$C$22)*p_Cetp+IF($B47=1,p_Cint+p_Ccc,0))-$C$19*$C$20,0)</f>
        <v>0</v>
      </c>
      <c r="D47" s="83" t="n">
        <f aca="false">IF($B47&lt;=p_horiz,(p_V*$D$8*(p_t0*p_ch-$D$9*$D$12*p_ch-(1-$D$9)*$D$11*p_ch-(1-$D$9)*$D$10*$D$13*p_ch-$D$14*(1+$D$15)^($B47-1)-p_sauto*p_cjuge))*(1-$D$17)*(1-$D$16)^($B47-1)-(($D$21+$D$22)*p_Cetp+IF($B47=1,p_Cint+p_Ccc,0))-$D$19*$D$20,0)</f>
        <v>0</v>
      </c>
      <c r="E47" s="83" t="n">
        <f aca="false">IF($B47&lt;=p_horiz,(p_V*$E$8*(p_t0*p_ch-$E$9*$E$12*p_ch-(1-$E$9)*$E$11*p_ch-(1-$E$9)*$E$10*$E$13*p_ch-$E$14*(1+$E$15)^($B47-1)-p_sauto*p_cjuge))*(1-$E$17)*(1-$E$16)^($B47-1)-(($E$21+$E$22)*p_Cetp+IF($B47=1,p_Cint+p_Ccc,0))-$E$19*$E$20,0)</f>
        <v>0</v>
      </c>
      <c r="F47" s="83" t="n">
        <f aca="false">IF($B47&lt;=p_horiz,(p_V*$F$8*(p_t0*p_ch-$F$9*$F$12*p_ch-(1-$F$9)*$F$11*p_ch-(1-$F$9)*$F$10*$F$13*p_ch-$F$14*(1+$F$15)^($B47-1)-p_sauto*p_cjuge))*(1-$F$17)*(1-$F$16)^($B47-1)-(($F$21+$F$22)*p_Cetp+IF($B47=1,p_Cint+p_Ccc,0))-$F$19*$F$20,0)</f>
        <v>0</v>
      </c>
      <c r="G47" s="114" t="n">
        <f aca="false">1/(1+p_r)^$B47</f>
        <v>0.683013455365071</v>
      </c>
      <c r="H47" s="12"/>
    </row>
    <row r="48" customFormat="false" ht="15" hidden="false" customHeight="false" outlineLevel="0" collapsed="false">
      <c r="A48" s="79" t="s">
        <v>716</v>
      </c>
      <c r="B48" s="113" t="n">
        <f aca="false">ROW()-ROW($B$43)</f>
        <v>5</v>
      </c>
      <c r="C48" s="83" t="n">
        <f aca="false">IF($B48&lt;=p_horiz,(p_V*$C$8*(p_t0*p_ch-$C$9*$C$12*p_ch-(1-$C$9)*$C$11*p_ch-(1-$C$9)*$C$10*$C$13*p_ch-$C$14*(1+$C$15)^($B48-1)-p_sauto*p_cjuge))*(1-$C$17)*(1-$C$16)^($B48-1)-(($C$21+$C$22)*p_Cetp+IF($B48=1,p_Cint+p_Ccc,0))-$C$19*$C$20,0)</f>
        <v>0</v>
      </c>
      <c r="D48" s="83" t="n">
        <f aca="false">IF($B48&lt;=p_horiz,(p_V*$D$8*(p_t0*p_ch-$D$9*$D$12*p_ch-(1-$D$9)*$D$11*p_ch-(1-$D$9)*$D$10*$D$13*p_ch-$D$14*(1+$D$15)^($B48-1)-p_sauto*p_cjuge))*(1-$D$17)*(1-$D$16)^($B48-1)-(($D$21+$D$22)*p_Cetp+IF($B48=1,p_Cint+p_Ccc,0))-$D$19*$D$20,0)</f>
        <v>0</v>
      </c>
      <c r="E48" s="83" t="n">
        <f aca="false">IF($B48&lt;=p_horiz,(p_V*$E$8*(p_t0*p_ch-$E$9*$E$12*p_ch-(1-$E$9)*$E$11*p_ch-(1-$E$9)*$E$10*$E$13*p_ch-$E$14*(1+$E$15)^($B48-1)-p_sauto*p_cjuge))*(1-$E$17)*(1-$E$16)^($B48-1)-(($E$21+$E$22)*p_Cetp+IF($B48=1,p_Cint+p_Ccc,0))-$E$19*$E$20,0)</f>
        <v>0</v>
      </c>
      <c r="F48" s="83" t="n">
        <f aca="false">IF($B48&lt;=p_horiz,(p_V*$F$8*(p_t0*p_ch-$F$9*$F$12*p_ch-(1-$F$9)*$F$11*p_ch-(1-$F$9)*$F$10*$F$13*p_ch-$F$14*(1+$F$15)^($B48-1)-p_sauto*p_cjuge))*(1-$F$17)*(1-$F$16)^($B48-1)-(($F$21+$F$22)*p_Cetp+IF($B48=1,p_Cint+p_Ccc,0))-$F$19*$F$20,0)</f>
        <v>0</v>
      </c>
      <c r="G48" s="114" t="n">
        <f aca="false">1/(1+p_r)^$B48</f>
        <v>0.620921323059155</v>
      </c>
      <c r="H48" s="12"/>
    </row>
    <row r="49" customFormat="false" ht="15.75" hidden="false" customHeight="true" outlineLevel="0" collapsed="false">
      <c r="A49" s="26" t="s">
        <v>717</v>
      </c>
      <c r="B49" s="26"/>
      <c r="C49" s="26"/>
      <c r="D49" s="26"/>
      <c r="E49" s="26"/>
      <c r="F49" s="26"/>
      <c r="G49" s="26"/>
      <c r="H49" s="26"/>
    </row>
    <row r="50" customFormat="false" ht="15" hidden="false" customHeight="false" outlineLevel="0" collapsed="false">
      <c r="A50" s="79" t="s">
        <v>718</v>
      </c>
      <c r="B50" s="113" t="n">
        <f aca="false">ROW()-ROW($B$49)</f>
        <v>1</v>
      </c>
      <c r="C50" s="83" t="n">
        <f aca="false">C44</f>
        <v>-95029.5600000003</v>
      </c>
      <c r="D50" s="83" t="n">
        <f aca="false">D44</f>
        <v>193993.2</v>
      </c>
      <c r="E50" s="83" t="n">
        <f aca="false">E44</f>
        <v>887293.8</v>
      </c>
      <c r="F50" s="83" t="n">
        <f aca="false">F44</f>
        <v>2318383.68</v>
      </c>
      <c r="G50" s="92"/>
      <c r="H50" s="12"/>
    </row>
    <row r="51" customFormat="false" ht="15" hidden="false" customHeight="false" outlineLevel="0" collapsed="false">
      <c r="A51" s="79" t="s">
        <v>719</v>
      </c>
      <c r="B51" s="113" t="n">
        <f aca="false">ROW()-ROW($B$49)</f>
        <v>2</v>
      </c>
      <c r="C51" s="83" t="n">
        <f aca="false">C50+C45</f>
        <v>-36252.6420000006</v>
      </c>
      <c r="D51" s="83" t="n">
        <f aca="false">D50+D45</f>
        <v>526524.24</v>
      </c>
      <c r="E51" s="83" t="n">
        <f aca="false">E50+E45</f>
        <v>1885210.41</v>
      </c>
      <c r="F51" s="83" t="n">
        <f aca="false">F50+F45</f>
        <v>4846767.36</v>
      </c>
      <c r="G51" s="92"/>
      <c r="H51" s="12"/>
    </row>
    <row r="52" customFormat="false" ht="15" hidden="false" customHeight="false" outlineLevel="0" collapsed="false">
      <c r="A52" s="79" t="s">
        <v>720</v>
      </c>
      <c r="B52" s="113" t="n">
        <f aca="false">ROW()-ROW($B$49)</f>
        <v>3</v>
      </c>
      <c r="C52" s="83" t="n">
        <f aca="false">C51+C46</f>
        <v>-40186.1949000008</v>
      </c>
      <c r="D52" s="83" t="n">
        <f aca="false">D51+D46</f>
        <v>781173.4155</v>
      </c>
      <c r="E52" s="83" t="n">
        <f aca="false">E51+E46</f>
        <v>2778725.877</v>
      </c>
      <c r="F52" s="83" t="n">
        <f aca="false">F51+F46</f>
        <v>7375151.04</v>
      </c>
      <c r="G52" s="92"/>
      <c r="H52" s="12"/>
    </row>
    <row r="53" customFormat="false" ht="15" hidden="false" customHeight="false" outlineLevel="0" collapsed="false">
      <c r="A53" s="79" t="s">
        <v>721</v>
      </c>
      <c r="B53" s="113" t="n">
        <f aca="false">ROW()-ROW($B$49)</f>
        <v>4</v>
      </c>
      <c r="C53" s="83" t="n">
        <f aca="false">C52+C47</f>
        <v>-40186.1949000008</v>
      </c>
      <c r="D53" s="83" t="n">
        <f aca="false">D52+D47</f>
        <v>781173.4155</v>
      </c>
      <c r="E53" s="83" t="n">
        <f aca="false">E52+E47</f>
        <v>2778725.877</v>
      </c>
      <c r="F53" s="83" t="n">
        <f aca="false">F52+F47</f>
        <v>7375151.04</v>
      </c>
      <c r="G53" s="92"/>
      <c r="H53" s="12"/>
    </row>
    <row r="54" customFormat="false" ht="15" hidden="false" customHeight="false" outlineLevel="0" collapsed="false">
      <c r="A54" s="79" t="s">
        <v>722</v>
      </c>
      <c r="B54" s="113" t="n">
        <f aca="false">ROW()-ROW($B$49)</f>
        <v>5</v>
      </c>
      <c r="C54" s="83" t="n">
        <f aca="false">C53+C48</f>
        <v>-40186.1949000008</v>
      </c>
      <c r="D54" s="83" t="n">
        <f aca="false">D53+D48</f>
        <v>781173.4155</v>
      </c>
      <c r="E54" s="83" t="n">
        <f aca="false">E53+E48</f>
        <v>2778725.877</v>
      </c>
      <c r="F54" s="83" t="n">
        <f aca="false">F53+F48</f>
        <v>7375151.04</v>
      </c>
      <c r="G54" s="92"/>
      <c r="H54" s="12"/>
    </row>
    <row r="55" customFormat="false" ht="15" hidden="false" customHeight="false" outlineLevel="0" collapsed="false">
      <c r="A55" s="79" t="s">
        <v>723</v>
      </c>
      <c r="B55" s="113" t="n">
        <f aca="false">ROW()-ROW($B$54)</f>
        <v>1</v>
      </c>
      <c r="C55" s="81" t="n">
        <f aca="false">IF(AND($B55&lt;=p_horiz,C50&gt;=p_Cint+p_Ccc),1,0)</f>
        <v>0</v>
      </c>
      <c r="D55" s="81" t="n">
        <f aca="false">IF(AND($B55&lt;=p_horiz,D50&gt;=p_Cint+p_Ccc),1,0)</f>
        <v>0</v>
      </c>
      <c r="E55" s="81" t="n">
        <f aca="false">IF(AND($B55&lt;=p_horiz,E50&gt;=p_Cint+p_Ccc),1,0)</f>
        <v>1</v>
      </c>
      <c r="F55" s="81" t="n">
        <f aca="false">IF(AND($B55&lt;=p_horiz,F50&gt;=p_Cint+p_Ccc),1,0)</f>
        <v>1</v>
      </c>
      <c r="G55" s="92"/>
      <c r="H55" s="12"/>
    </row>
    <row r="56" customFormat="false" ht="15" hidden="false" customHeight="false" outlineLevel="0" collapsed="false">
      <c r="A56" s="79" t="s">
        <v>724</v>
      </c>
      <c r="B56" s="113" t="n">
        <f aca="false">ROW()-ROW($B$54)</f>
        <v>2</v>
      </c>
      <c r="C56" s="81" t="n">
        <f aca="false">IF(AND($B56&lt;=p_horiz,C51&gt;=p_Cint+p_Ccc),1,0)</f>
        <v>0</v>
      </c>
      <c r="D56" s="81" t="n">
        <f aca="false">IF(AND($B56&lt;=p_horiz,D51&gt;=p_Cint+p_Ccc),1,0)</f>
        <v>1</v>
      </c>
      <c r="E56" s="81" t="n">
        <f aca="false">IF(AND($B56&lt;=p_horiz,E51&gt;=p_Cint+p_Ccc),1,0)</f>
        <v>1</v>
      </c>
      <c r="F56" s="81" t="n">
        <f aca="false">IF(AND($B56&lt;=p_horiz,F51&gt;=p_Cint+p_Ccc),1,0)</f>
        <v>1</v>
      </c>
      <c r="G56" s="92"/>
      <c r="H56" s="12"/>
    </row>
    <row r="57" customFormat="false" ht="15" hidden="false" customHeight="false" outlineLevel="0" collapsed="false">
      <c r="A57" s="79" t="s">
        <v>725</v>
      </c>
      <c r="B57" s="113" t="n">
        <f aca="false">ROW()-ROW($B$54)</f>
        <v>3</v>
      </c>
      <c r="C57" s="81" t="n">
        <f aca="false">IF(AND($B57&lt;=p_horiz,C52&gt;=p_Cint+p_Ccc),1,0)</f>
        <v>0</v>
      </c>
      <c r="D57" s="81" t="n">
        <f aca="false">IF(AND($B57&lt;=p_horiz,D52&gt;=p_Cint+p_Ccc),1,0)</f>
        <v>1</v>
      </c>
      <c r="E57" s="81" t="n">
        <f aca="false">IF(AND($B57&lt;=p_horiz,E52&gt;=p_Cint+p_Ccc),1,0)</f>
        <v>1</v>
      </c>
      <c r="F57" s="81" t="n">
        <f aca="false">IF(AND($B57&lt;=p_horiz,F52&gt;=p_Cint+p_Ccc),1,0)</f>
        <v>1</v>
      </c>
      <c r="G57" s="92"/>
      <c r="H57" s="12"/>
    </row>
    <row r="58" customFormat="false" ht="15" hidden="false" customHeight="false" outlineLevel="0" collapsed="false">
      <c r="A58" s="79" t="s">
        <v>726</v>
      </c>
      <c r="B58" s="113" t="n">
        <f aca="false">ROW()-ROW($B$54)</f>
        <v>4</v>
      </c>
      <c r="C58" s="81" t="n">
        <f aca="false">IF(AND($B58&lt;=p_horiz,C53&gt;=p_Cint+p_Ccc),1,0)</f>
        <v>0</v>
      </c>
      <c r="D58" s="81" t="n">
        <f aca="false">IF(AND($B58&lt;=p_horiz,D53&gt;=p_Cint+p_Ccc),1,0)</f>
        <v>0</v>
      </c>
      <c r="E58" s="81" t="n">
        <f aca="false">IF(AND($B58&lt;=p_horiz,E53&gt;=p_Cint+p_Ccc),1,0)</f>
        <v>0</v>
      </c>
      <c r="F58" s="81" t="n">
        <f aca="false">IF(AND($B58&lt;=p_horiz,F53&gt;=p_Cint+p_Ccc),1,0)</f>
        <v>0</v>
      </c>
      <c r="G58" s="92"/>
      <c r="H58" s="12"/>
    </row>
    <row r="59" customFormat="false" ht="15" hidden="false" customHeight="false" outlineLevel="0" collapsed="false">
      <c r="A59" s="79" t="s">
        <v>727</v>
      </c>
      <c r="B59" s="113" t="n">
        <f aca="false">ROW()-ROW($B$54)</f>
        <v>5</v>
      </c>
      <c r="C59" s="81" t="n">
        <f aca="false">IF(AND($B59&lt;=p_horiz,C54&gt;=p_Cint+p_Ccc),1,0)</f>
        <v>0</v>
      </c>
      <c r="D59" s="81" t="n">
        <f aca="false">IF(AND($B59&lt;=p_horiz,D54&gt;=p_Cint+p_Ccc),1,0)</f>
        <v>0</v>
      </c>
      <c r="E59" s="81" t="n">
        <f aca="false">IF(AND($B59&lt;=p_horiz,E54&gt;=p_Cint+p_Ccc),1,0)</f>
        <v>0</v>
      </c>
      <c r="F59" s="81" t="n">
        <f aca="false">IF(AND($B59&lt;=p_horiz,F54&gt;=p_Cint+p_Ccc),1,0)</f>
        <v>0</v>
      </c>
      <c r="G59" s="92"/>
      <c r="H59" s="12"/>
    </row>
    <row r="60" customFormat="false" ht="15.75" hidden="false" customHeight="true" outlineLevel="0" collapsed="false">
      <c r="A60" s="26" t="s">
        <v>728</v>
      </c>
      <c r="B60" s="26"/>
      <c r="C60" s="26"/>
      <c r="D60" s="26"/>
      <c r="E60" s="26"/>
      <c r="F60" s="26"/>
      <c r="G60" s="26"/>
      <c r="H60" s="26"/>
    </row>
    <row r="61" customFormat="false" ht="15" hidden="false" customHeight="false" outlineLevel="0" collapsed="false">
      <c r="A61" s="82" t="s">
        <v>597</v>
      </c>
      <c r="B61" s="80" t="s">
        <v>598</v>
      </c>
      <c r="C61" s="57" t="n">
        <f aca="false">SUMPRODUCT(C44:C48,$G$44:$G$48)</f>
        <v>-40769.8803155529</v>
      </c>
      <c r="D61" s="57" t="n">
        <f aca="false">SUMPRODUCT(D44:D48,$G$44:$G$48)</f>
        <v>642498.190458302</v>
      </c>
      <c r="E61" s="57" t="n">
        <f aca="false">SUMPRODUCT(E44:E48,$G$44:$G$48)</f>
        <v>2302666.59353869</v>
      </c>
      <c r="F61" s="57" t="n">
        <f aca="false">SUMPRODUCT(F44:F48,$G$44:$G$48)</f>
        <v>6096806.89767092</v>
      </c>
      <c r="G61" s="92"/>
      <c r="H61" s="12" t="s">
        <v>729</v>
      </c>
    </row>
    <row r="62" customFormat="false" ht="15" hidden="false" customHeight="false" outlineLevel="0" collapsed="false">
      <c r="A62" s="79" t="s">
        <v>600</v>
      </c>
      <c r="B62" s="80" t="s">
        <v>601</v>
      </c>
      <c r="C62" s="83" t="n">
        <f aca="false">p_Cint+p_Ccc+($C$21+$C$22)*p_Cetp</f>
        <v>480000</v>
      </c>
      <c r="D62" s="83" t="n">
        <f aca="false">p_Cint+p_Ccc+($D$21+$D$22)*p_Cetp</f>
        <v>615000</v>
      </c>
      <c r="E62" s="83" t="n">
        <f aca="false">p_Cint+p_Ccc+($E$21+$E$22)*p_Cetp</f>
        <v>480000</v>
      </c>
      <c r="F62" s="83" t="n">
        <f aca="false">p_Cint+p_Ccc+($F$21+$F$22)*p_Cetp</f>
        <v>480000</v>
      </c>
      <c r="G62" s="92"/>
      <c r="H62" s="12" t="s">
        <v>602</v>
      </c>
    </row>
    <row r="63" customFormat="false" ht="15" hidden="false" customHeight="false" outlineLevel="0" collapsed="false">
      <c r="A63" s="82" t="s">
        <v>603</v>
      </c>
      <c r="B63" s="80" t="s">
        <v>604</v>
      </c>
      <c r="C63" s="86" t="n">
        <f aca="false">(1-$C$18)*C61-$C$18*C62</f>
        <v>-304307.952126221</v>
      </c>
      <c r="D63" s="86" t="n">
        <f aca="false">(1-$D$18)*D61-$D$18*D62</f>
        <v>76624.0047520662</v>
      </c>
      <c r="E63" s="86" t="n">
        <f aca="false">(1-$E$18)*E61-$E$18*E62</f>
        <v>1050466.62644628</v>
      </c>
      <c r="F63" s="86" t="n">
        <f aca="false">(1-$F$18)*F61-$F$18*F62</f>
        <v>3137243.79371901</v>
      </c>
      <c r="G63" s="92"/>
      <c r="H63" s="12" t="s">
        <v>605</v>
      </c>
    </row>
    <row r="64" customFormat="false" ht="15" hidden="false" customHeight="false" outlineLevel="0" collapsed="false">
      <c r="A64" s="79" t="s">
        <v>606</v>
      </c>
      <c r="B64" s="80"/>
      <c r="C64" s="83" t="n">
        <f aca="false">p_Cint+p_Ccc+($C$21+$C$22)*p_Cetp*SUMPRODUCT($G$44:$G$48,($B$44:$B$48&lt;=p_horiz)*1)</f>
        <v>881450.03756574</v>
      </c>
      <c r="D64" s="83" t="n">
        <f aca="false">p_Cint+p_Ccc+($D$21+$D$22)*p_Cetp*SUMPRODUCT($G$44:$G$48,($B$44:$B$48&lt;=p_horiz)*1)</f>
        <v>1217175.05634861</v>
      </c>
      <c r="E64" s="83" t="n">
        <f aca="false">p_Cint+p_Ccc+($E$21+$E$22)*p_Cetp*SUMPRODUCT($G$44:$G$48,($B$44:$B$48&lt;=p_horiz)*1)</f>
        <v>881450.03756574</v>
      </c>
      <c r="F64" s="83" t="n">
        <f aca="false">p_Cint+p_Ccc+($F$21+$F$22)*p_Cetp*SUMPRODUCT($G$44:$G$48,($B$44:$B$48&lt;=p_horiz)*1)</f>
        <v>881450.03756574</v>
      </c>
      <c r="G64" s="92"/>
      <c r="H64" s="12" t="s">
        <v>730</v>
      </c>
    </row>
    <row r="65" customFormat="false" ht="15" hidden="false" customHeight="false" outlineLevel="0" collapsed="false">
      <c r="A65" s="82" t="s">
        <v>608</v>
      </c>
      <c r="B65" s="80" t="s">
        <v>609</v>
      </c>
      <c r="C65" s="95" t="n">
        <f aca="false">IF(C64=0,"",C63/C64)</f>
        <v>-0.34523562216483</v>
      </c>
      <c r="D65" s="95" t="n">
        <f aca="false">IF(D64=0,"",D63/D64)</f>
        <v>0.0629523291266991</v>
      </c>
      <c r="E65" s="95" t="n">
        <f aca="false">IF(E64=0,"",E63/E64)</f>
        <v>1.19174834837753</v>
      </c>
      <c r="F65" s="95" t="n">
        <f aca="false">IF(F64=0,"",F63/F64)</f>
        <v>3.55918504738282</v>
      </c>
      <c r="G65" s="92"/>
      <c r="H65" s="12" t="s">
        <v>731</v>
      </c>
    </row>
    <row r="66" customFormat="false" ht="15" hidden="false" customHeight="false" outlineLevel="0" collapsed="false">
      <c r="A66" s="82" t="s">
        <v>611</v>
      </c>
      <c r="B66" s="80"/>
      <c r="C66" s="96" t="str">
        <f aca="false">IF(SUM(C55:C59)=0,"Aucun retour sur l’horizon",MATCH(1,C55:C59,0))</f>
        <v>Aucun retour sur l’horizon</v>
      </c>
      <c r="D66" s="96" t="n">
        <f aca="false">IF(SUM(D55:D59)=0,"Aucun retour sur l’horizon",MATCH(1,D55:D59,0))</f>
        <v>2</v>
      </c>
      <c r="E66" s="96" t="n">
        <f aca="false">IF(SUM(E55:E59)=0,"Aucun retour sur l’horizon",MATCH(1,E55:E59,0))</f>
        <v>1</v>
      </c>
      <c r="F66" s="96" t="n">
        <f aca="false">IF(SUM(F55:F59)=0,"Aucun retour sur l’horizon",MATCH(1,F55:F59,0))</f>
        <v>1</v>
      </c>
      <c r="G66" s="92"/>
      <c r="H66" s="12" t="s">
        <v>612</v>
      </c>
    </row>
    <row r="67" customFormat="false" ht="19.4" hidden="false" customHeight="false" outlineLevel="0" collapsed="false">
      <c r="A67" s="79" t="s">
        <v>554</v>
      </c>
      <c r="B67" s="80" t="s">
        <v>190</v>
      </c>
      <c r="C67" s="115" t="n">
        <f aca="false">IF(p_H=0,"",(p_V*p_t0-p_V*((1-$C$8)*p_t0+$C$8*$C$9*$C$12+$C$8*(1-$C$9)*$C$11+$C$8*(1-$C$9)*$C$10*$C$13))/p_H)</f>
        <v>9.99980087118856</v>
      </c>
      <c r="D67" s="115" t="n">
        <f aca="false">IF(p_H=0,"",(p_V*p_t0-p_V*((1-$D$8)*p_t0+$D$8*$D$9*$D$12+$D$8*(1-$D$9)*$D$11+$D$8*(1-$D$9)*$D$10*$D$13))/p_H)</f>
        <v>12.8730802738021</v>
      </c>
      <c r="E67" s="115" t="n">
        <f aca="false">IF(p_H=0,"",(p_V*p_t0-p_V*((1-$E$8)*p_t0+$E$8*$E$9*$E$12+$E$8*(1-$E$9)*$E$11+$E$8*(1-$E$9)*$E$10*$E$13))/p_H)</f>
        <v>19.9996017423771</v>
      </c>
      <c r="F67" s="115" t="n">
        <f aca="false">IF(p_H=0,"",(p_V*p_t0-p_V*((1-$F$8)*p_t0+$F$8*$F$9*$F$12+$F$8*(1-$F$9)*$F$11+$F$8*(1-$F$9)*$F$10*$F$13))/p_H)</f>
        <v>34.8449533291848</v>
      </c>
      <c r="G67" s="92"/>
      <c r="H67" s="12" t="s">
        <v>732</v>
      </c>
    </row>
    <row r="68" customFormat="false" ht="19.4" hidden="false" customHeight="false" outlineLevel="0" collapsed="false">
      <c r="A68" s="79" t="s">
        <v>733</v>
      </c>
      <c r="B68" s="80"/>
      <c r="C68" s="83" t="n">
        <f aca="false">p_V*$C$8*$C$9*$C$12*p_ch+p_V*$C$8*(1-$C$9)*$C$11*p_ch+p_V*$C$8*(1-$C$9)*$C$10*$C$13*p_ch+p_V*$C$8*$C$14+p_V*$C$8*p_sauto*p_cjuge+p_Cint+p_Ccc+($C$21+$C$22)*p_Cetp+$C$19*$C$20</f>
        <v>1410220.8</v>
      </c>
      <c r="D68" s="83" t="n">
        <f aca="false">p_V*$D$8*$D$9*$D$12*p_ch+p_V*$D$8*(1-$D$9)*$D$11*p_ch+p_V*$D$8*(1-$D$9)*$D$10*$D$13*p_ch+p_V*$D$8*$D$14+p_V*$D$8*p_sauto*p_cjuge+p_Cint+p_Ccc+($D$21+$D$22)*p_Cetp+$D$19*$D$20</f>
        <v>2703842.4</v>
      </c>
      <c r="E68" s="83" t="n">
        <f aca="false">p_V*$E$8*$E$9*$E$12*p_ch+p_V*$E$8*(1-$E$9)*$E$11*p_ch+p_V*$E$8*(1-$E$9)*$E$10*$E$13*p_ch+p_V*$E$8*$E$14+p_V*$E$8*p_sauto*p_cjuge+p_Cint+p_Ccc+($E$21+$E$22)*p_Cetp+$E$19*$E$20</f>
        <v>1824441.6</v>
      </c>
      <c r="F68" s="83" t="n">
        <f aca="false">p_V*$F$8*$F$9*$F$12*p_ch+p_V*$F$8*(1-$F$9)*$F$11*p_ch+p_V*$F$8*(1-$F$9)*$F$10*$F$13*p_ch+p_V*$F$8*$F$14+p_V*$F$8*p_sauto*p_cjuge+p_Cint+p_Ccc+($F$21+$F$22)*p_Cetp+$F$19*$F$20</f>
        <v>1643270.4</v>
      </c>
      <c r="G68" s="92"/>
      <c r="H68" s="12" t="s">
        <v>734</v>
      </c>
    </row>
    <row r="69" customFormat="false" ht="15" hidden="false" customHeight="false" outlineLevel="0" collapsed="false">
      <c r="A69" s="79" t="s">
        <v>735</v>
      </c>
      <c r="B69" s="80"/>
      <c r="C69" s="83" t="n">
        <f aca="false">C63-$E$63</f>
        <v>-1354774.5785725</v>
      </c>
      <c r="D69" s="83" t="n">
        <f aca="false">D63-$E$63</f>
        <v>-973842.621694214</v>
      </c>
      <c r="E69" s="83" t="n">
        <f aca="false">E63-$E$63</f>
        <v>0</v>
      </c>
      <c r="F69" s="83" t="n">
        <f aca="false">F63-$E$63</f>
        <v>2086777.16727273</v>
      </c>
      <c r="G69" s="92"/>
      <c r="H69" s="12" t="s">
        <v>736</v>
      </c>
    </row>
    <row r="70" customFormat="false" ht="15" hidden="false" customHeight="false" outlineLevel="0" collapsed="false">
      <c r="A70" s="79" t="s">
        <v>613</v>
      </c>
      <c r="B70" s="80"/>
      <c r="C70" s="97" t="str">
        <f aca="false">IF(C65="","",IF(C65&gt;=p_ROIcible,"Au-dessus du seuil",IF(C65&gt;0,"Positif mais sous le seuil","Détruit de la valeur")))</f>
        <v>Détruit de la valeur</v>
      </c>
      <c r="D70" s="97" t="str">
        <f aca="false">IF(D65="","",IF(D65&gt;=p_ROIcible,"Au-dessus du seuil",IF(D65&gt;0,"Positif mais sous le seuil","Détruit de la valeur")))</f>
        <v>Positif mais sous le seuil</v>
      </c>
      <c r="E70" s="97" t="str">
        <f aca="false">IF(E65="","",IF(E65&gt;=p_ROIcible,"Au-dessus du seuil",IF(E65&gt;0,"Positif mais sous le seuil","Détruit de la valeur")))</f>
        <v>Au-dessus du seuil</v>
      </c>
      <c r="F70" s="97" t="str">
        <f aca="false">IF(F65="","",IF(F65&gt;=p_ROIcible,"Au-dessus du seuil",IF(F65&gt;0,"Positif mais sous le seuil","Détruit de la valeur")))</f>
        <v>Au-dessus du seuil</v>
      </c>
      <c r="G70" s="92"/>
      <c r="H70" s="12" t="s">
        <v>614</v>
      </c>
    </row>
    <row r="71" customFormat="false" ht="27.75" hidden="false" customHeight="true" outlineLevel="0" collapsed="false">
      <c r="A71" s="25" t="s">
        <v>737</v>
      </c>
      <c r="B71" s="25"/>
      <c r="C71" s="25"/>
      <c r="D71" s="25"/>
      <c r="E71" s="25"/>
      <c r="F71" s="25"/>
      <c r="G71" s="25"/>
      <c r="H71" s="25"/>
    </row>
    <row r="73" customFormat="false" ht="18.75" hidden="false" customHeight="true" outlineLevel="0" collapsed="false">
      <c r="A73" s="4" t="s">
        <v>738</v>
      </c>
      <c r="B73" s="4"/>
      <c r="C73" s="4"/>
      <c r="D73" s="4"/>
      <c r="E73" s="4"/>
      <c r="F73" s="4"/>
      <c r="G73" s="4"/>
      <c r="H73" s="4"/>
    </row>
    <row r="74" customFormat="false" ht="15.75" hidden="false" customHeight="true" outlineLevel="0" collapsed="false">
      <c r="A74" s="26" t="s">
        <v>739</v>
      </c>
      <c r="B74" s="26"/>
      <c r="C74" s="26"/>
      <c r="D74" s="26"/>
      <c r="E74" s="26"/>
      <c r="F74" s="26"/>
      <c r="G74" s="26"/>
      <c r="H74" s="26"/>
    </row>
    <row r="75" customFormat="false" ht="15" hidden="false" customHeight="true" outlineLevel="0" collapsed="false">
      <c r="A75" s="116" t="s">
        <v>474</v>
      </c>
      <c r="B75" s="78"/>
      <c r="C75" s="32" t="n">
        <f aca="false">COLUMN(C75)-COLUMN($B$75)</f>
        <v>1</v>
      </c>
      <c r="D75" s="32" t="n">
        <f aca="false">COLUMN(D75)-COLUMN($B$75)</f>
        <v>2</v>
      </c>
      <c r="E75" s="32" t="n">
        <f aca="false">COLUMN(E75)-COLUMN($B$75)</f>
        <v>3</v>
      </c>
      <c r="F75" s="32" t="n">
        <f aca="false">COLUMN(F75)-COLUMN($B$75)</f>
        <v>4</v>
      </c>
      <c r="G75" s="32" t="n">
        <f aca="false">COLUMN(G75)-COLUMN($B$75)</f>
        <v>5</v>
      </c>
      <c r="H75" s="12" t="s">
        <v>740</v>
      </c>
    </row>
    <row r="76" customFormat="false" ht="15" hidden="false" customHeight="true" outlineLevel="0" collapsed="false">
      <c r="A76" s="116" t="s">
        <v>741</v>
      </c>
      <c r="B76" s="78"/>
      <c r="C76" s="32" t="n">
        <f aca="false">IF(C$75&lt;=p_horiz,1,0)</f>
        <v>1</v>
      </c>
      <c r="D76" s="32" t="n">
        <f aca="false">IF(D$75&lt;=p_horiz,1,0)</f>
        <v>1</v>
      </c>
      <c r="E76" s="32" t="n">
        <f aca="false">IF(E$75&lt;=p_horiz,1,0)</f>
        <v>1</v>
      </c>
      <c r="F76" s="32" t="n">
        <f aca="false">IF(F$75&lt;=p_horiz,1,0)</f>
        <v>0</v>
      </c>
      <c r="G76" s="32" t="n">
        <f aca="false">IF(G$75&lt;=p_horiz,1,0)</f>
        <v>0</v>
      </c>
      <c r="H76" s="12" t="s">
        <v>740</v>
      </c>
    </row>
    <row r="77" customFormat="false" ht="15" hidden="false" customHeight="true" outlineLevel="0" collapsed="false">
      <c r="A77" s="116" t="s">
        <v>742</v>
      </c>
      <c r="B77" s="78"/>
      <c r="C77" s="117" t="n">
        <f aca="false">(1+p_g)^(C$75-1)</f>
        <v>1</v>
      </c>
      <c r="D77" s="117" t="n">
        <f aca="false">(1+p_g)^(D$75-1)</f>
        <v>1.5</v>
      </c>
      <c r="E77" s="117" t="n">
        <f aca="false">(1+p_g)^(E$75-1)</f>
        <v>2.25</v>
      </c>
      <c r="F77" s="117" t="n">
        <f aca="false">(1+p_g)^(F$75-1)</f>
        <v>3.375</v>
      </c>
      <c r="G77" s="117" t="n">
        <f aca="false">(1+p_g)^(G$75-1)</f>
        <v>5.0625</v>
      </c>
      <c r="H77" s="12" t="s">
        <v>740</v>
      </c>
    </row>
    <row r="78" customFormat="false" ht="15" hidden="false" customHeight="true" outlineLevel="0" collapsed="false">
      <c r="A78" s="116" t="s">
        <v>743</v>
      </c>
      <c r="B78" s="78"/>
      <c r="C78" s="117" t="n">
        <f aca="false">(1-p_d)^(C$75-1)</f>
        <v>1</v>
      </c>
      <c r="D78" s="117" t="n">
        <f aca="false">(1-p_d)^(D$75-1)</f>
        <v>0.95</v>
      </c>
      <c r="E78" s="117" t="n">
        <f aca="false">(1-p_d)^(E$75-1)</f>
        <v>0.9025</v>
      </c>
      <c r="F78" s="117" t="n">
        <f aca="false">(1-p_d)^(F$75-1)</f>
        <v>0.857375</v>
      </c>
      <c r="G78" s="117" t="n">
        <f aca="false">(1-p_d)^(G$75-1)</f>
        <v>0.81450625</v>
      </c>
      <c r="H78" s="12" t="s">
        <v>740</v>
      </c>
    </row>
    <row r="79" customFormat="false" ht="15" hidden="false" customHeight="true" outlineLevel="0" collapsed="false">
      <c r="A79" s="116" t="s">
        <v>500</v>
      </c>
      <c r="B79" s="78"/>
      <c r="C79" s="46" t="n">
        <f aca="false">(p_nEval+p_nGouv)*p_Cetp+IF(C$75=1,p_Cint+p_Ccc,0)</f>
        <v>480000</v>
      </c>
      <c r="D79" s="46" t="n">
        <f aca="false">(p_nEval+p_nGouv)*p_Cetp+IF(D$75=1,p_Cint+p_Ccc,0)</f>
        <v>270000</v>
      </c>
      <c r="E79" s="46" t="n">
        <f aca="false">(p_nEval+p_nGouv)*p_Cetp+IF(E$75=1,p_Cint+p_Ccc,0)</f>
        <v>270000</v>
      </c>
      <c r="F79" s="46" t="n">
        <f aca="false">(p_nEval+p_nGouv)*p_Cetp+IF(F$75=1,p_Cint+p_Ccc,0)</f>
        <v>270000</v>
      </c>
      <c r="G79" s="46" t="n">
        <f aca="false">(p_nEval+p_nGouv)*p_Cetp+IF(G$75=1,p_Cint+p_Ccc,0)</f>
        <v>270000</v>
      </c>
      <c r="H79" s="12" t="s">
        <v>740</v>
      </c>
    </row>
    <row r="80" customFormat="false" ht="15" hidden="false" customHeight="true" outlineLevel="0" collapsed="false">
      <c r="A80" s="116" t="s">
        <v>503</v>
      </c>
      <c r="B80" s="78"/>
      <c r="C80" s="46" t="n">
        <f aca="false">p_lam*p_Cinc</f>
        <v>150000</v>
      </c>
      <c r="D80" s="46" t="n">
        <f aca="false">p_lam*p_Cinc</f>
        <v>150000</v>
      </c>
      <c r="E80" s="46" t="n">
        <f aca="false">p_lam*p_Cinc</f>
        <v>150000</v>
      </c>
      <c r="F80" s="46" t="n">
        <f aca="false">p_lam*p_Cinc</f>
        <v>150000</v>
      </c>
      <c r="G80" s="46" t="n">
        <f aca="false">p_lam*p_Cinc</f>
        <v>150000</v>
      </c>
      <c r="H80" s="12" t="s">
        <v>740</v>
      </c>
    </row>
    <row r="81" customFormat="false" ht="15" hidden="false" customHeight="true" outlineLevel="0" collapsed="false">
      <c r="A81" s="116" t="s">
        <v>511</v>
      </c>
      <c r="B81" s="78"/>
      <c r="C81" s="117" t="n">
        <f aca="false">1/(1+p_r)^C$75</f>
        <v>0.909090909090909</v>
      </c>
      <c r="D81" s="117" t="n">
        <f aca="false">1/(1+p_r)^D$75</f>
        <v>0.826446280991735</v>
      </c>
      <c r="E81" s="117" t="n">
        <f aca="false">1/(1+p_r)^E$75</f>
        <v>0.751314800901578</v>
      </c>
      <c r="F81" s="117" t="n">
        <f aca="false">1/(1+p_r)^F$75</f>
        <v>0.683013455365071</v>
      </c>
      <c r="G81" s="117" t="n">
        <f aca="false">1/(1+p_r)^G$75</f>
        <v>0.620921323059155</v>
      </c>
      <c r="H81" s="12" t="s">
        <v>740</v>
      </c>
    </row>
    <row r="83" customFormat="false" ht="30" hidden="false" customHeight="true" outlineLevel="0" collapsed="false">
      <c r="A83" s="8" t="s">
        <v>744</v>
      </c>
      <c r="B83" s="8" t="s">
        <v>79</v>
      </c>
      <c r="C83" s="8" t="s">
        <v>745</v>
      </c>
      <c r="D83" s="8" t="s">
        <v>746</v>
      </c>
      <c r="E83" s="8" t="s">
        <v>747</v>
      </c>
      <c r="F83" s="8" t="s">
        <v>748</v>
      </c>
      <c r="G83" s="8" t="s">
        <v>749</v>
      </c>
      <c r="H83" s="8" t="s">
        <v>750</v>
      </c>
    </row>
    <row r="84" customFormat="false" ht="15" hidden="false" customHeight="false" outlineLevel="0" collapsed="false">
      <c r="A84" s="79" t="s">
        <v>751</v>
      </c>
      <c r="B84" s="80" t="s">
        <v>132</v>
      </c>
      <c r="C84" s="88" t="n">
        <f aca="false">p_e*p_choc2</f>
        <v>0.4</v>
      </c>
      <c r="D84" s="57" t="n">
        <f aca="false">(1-p_pech)*SUMPRODUCT($C$76:$G$76,((p_V*p_a*(p_t0*p_ch-$C$84*p_te*p_ch-(1-$C$84)*p_t1*p_ch-(1-$C$84)*p_s*p_ts*p_ch-p_cinf*$C$77:$G$77-p_sauto*p_cjuge))*(1-p_delta)*$C$78:$G$78-$C$79:$G$79-$C$80:$G$80)*$C$81:$G$81)-p_pech*'3. Calculateur'!$C$81</f>
        <v>381970.77303719</v>
      </c>
      <c r="E84" s="83" t="n">
        <f aca="false">D84-$E$63</f>
        <v>-668495.85340909</v>
      </c>
      <c r="F84" s="118" t="n">
        <f aca="false">IF('3. Calculateur'!$C$83=0,"",D84/'3. Calculateur'!$C$83)</f>
        <v>0.433343645990488</v>
      </c>
      <c r="G84" s="81" t="n">
        <f aca="false">SUMPRODUCT((ABS($E$84:$E$87)&gt;ABS(E84))*1)+1</f>
        <v>2</v>
      </c>
      <c r="H84" s="106" t="str">
        <f aca="false">IF(D84&gt;0,"Valeur actuelle nette ajustée positive","Négative, dossier non présentable")</f>
        <v>Valeur actuelle nette ajustée positive</v>
      </c>
    </row>
    <row r="85" customFormat="false" ht="15" hidden="false" customHeight="false" outlineLevel="0" collapsed="false">
      <c r="A85" s="79" t="s">
        <v>752</v>
      </c>
      <c r="B85" s="80" t="s">
        <v>137</v>
      </c>
      <c r="C85" s="88" t="n">
        <f aca="false">p_s*p_choc2</f>
        <v>0.04</v>
      </c>
      <c r="D85" s="57" t="n">
        <f aca="false">(1-p_pech)*SUMPRODUCT($C$76:$G$76,((p_V*p_a*(p_t0*p_ch-p_e*p_te*p_ch-(1-p_e)*p_t1*p_ch-(1-p_e)*$C$85*p_ts*p_ch-p_cinf*$C$77:$G$77-p_sauto*p_cjuge))*(1-p_delta)*$C$78:$G$78-$C$79:$G$79-$C$80:$G$80)*$C$81:$G$81)-p_pech*'3. Calculateur'!$C$81</f>
        <v>1037704.58553719</v>
      </c>
      <c r="E85" s="83" t="n">
        <f aca="false">D85-$E$63</f>
        <v>-12762.040909091</v>
      </c>
      <c r="F85" s="118" t="n">
        <f aca="false">IF('3. Calculateur'!$C$83=0,"",D85/'3. Calculateur'!$C$83)</f>
        <v>1.17726988633748</v>
      </c>
      <c r="G85" s="81" t="n">
        <f aca="false">SUMPRODUCT((ABS($E$84:$E$87)&gt;ABS(E85))*1)+1</f>
        <v>4</v>
      </c>
      <c r="H85" s="106" t="str">
        <f aca="false">IF(D85&gt;0,"Valeur actuelle nette ajustée positive","Négative, dossier non présentable")</f>
        <v>Valeur actuelle nette ajustée positive</v>
      </c>
    </row>
    <row r="86" customFormat="false" ht="15" hidden="false" customHeight="false" outlineLevel="0" collapsed="false">
      <c r="A86" s="79" t="s">
        <v>753</v>
      </c>
      <c r="B86" s="80" t="s">
        <v>153</v>
      </c>
      <c r="C86" s="84" t="n">
        <f aca="false">p_cinf*p_choc2</f>
        <v>2</v>
      </c>
      <c r="D86" s="57" t="n">
        <f aca="false">(1-p_pech)*SUMPRODUCT($C$76:$G$76,((p_V*p_a*(p_t0*p_ch-p_e*p_te*p_ch-(1-p_e)*p_t1*p_ch-(1-p_e)*p_s*p_ts*p_ch-$C$86*$C$77:$G$77-p_sauto*p_cjuge))*(1-p_delta)*$C$78:$G$78-$C$79:$G$79-$C$80:$G$80)*$C$81:$G$81)-p_pech*'3. Calculateur'!$C$81</f>
        <v>952118.615082644</v>
      </c>
      <c r="E86" s="83" t="n">
        <f aca="false">D86-$E$63</f>
        <v>-98348.0113636365</v>
      </c>
      <c r="F86" s="118" t="n">
        <f aca="false">IF('3. Calculateur'!$C$83=0,"",D86/'3. Calculateur'!$C$83)</f>
        <v>1.08017309490628</v>
      </c>
      <c r="G86" s="81" t="n">
        <f aca="false">SUMPRODUCT((ABS($E$84:$E$87)&gt;ABS(E86))*1)+1</f>
        <v>3</v>
      </c>
      <c r="H86" s="106" t="str">
        <f aca="false">IF(D86&gt;0,"Valeur actuelle nette ajustée positive","Négative, dossier non présentable")</f>
        <v>Valeur actuelle nette ajustée positive</v>
      </c>
    </row>
    <row r="87" customFormat="false" ht="15" hidden="false" customHeight="false" outlineLevel="0" collapsed="false">
      <c r="A87" s="79" t="s">
        <v>754</v>
      </c>
      <c r="B87" s="80" t="s">
        <v>126</v>
      </c>
      <c r="C87" s="88" t="n">
        <f aca="false">p_a*p_chocD</f>
        <v>0.275</v>
      </c>
      <c r="D87" s="57" t="n">
        <f aca="false">(1-p_pech)*SUMPRODUCT($C$76:$G$76,((p_V*$C$87*(p_t0*p_ch-p_e*p_te*p_ch-(1-p_e)*p_t1*p_ch-(1-p_e)*p_s*p_ts*p_ch-p_cinf*$C$77:$G$77-p_sauto*p_cjuge))*(1-p_delta)*$C$78:$G$78-$C$79:$G$79-$C$80:$G$80)*$C$81:$G$81)-p_pech*'3. Calculateur'!$C$81</f>
        <v>77501.9082644625</v>
      </c>
      <c r="E87" s="83" t="n">
        <f aca="false">D87-$E$63</f>
        <v>-972964.718181818</v>
      </c>
      <c r="F87" s="118" t="n">
        <f aca="false">IF('3. Calculateur'!$C$83=0,"",D87/'3. Calculateur'!$C$83)</f>
        <v>0.0879254693533123</v>
      </c>
      <c r="G87" s="81" t="n">
        <f aca="false">SUMPRODUCT((ABS($E$84:$E$87)&gt;ABS(E87))*1)+1</f>
        <v>1</v>
      </c>
      <c r="H87" s="106" t="str">
        <f aca="false">IF(D87&gt;0,"Valeur actuelle nette ajustée positive","Négative, dossier non présentable")</f>
        <v>Valeur actuelle nette ajustée positive</v>
      </c>
    </row>
    <row r="88" customFormat="false" ht="15" hidden="false" customHeight="false" outlineLevel="0" collapsed="false">
      <c r="A88" s="93" t="s">
        <v>755</v>
      </c>
      <c r="B88" s="78"/>
      <c r="C88" s="119" t="str">
        <f aca="false">IF(MIN(D84:D87)&gt;0,"Les quatre chocs laissent la valeur actuelle nette ajustée positive : le dossier est présentable en comité.","Au moins un choc rend la valeur actuelle nette ajustée négative : le dossier n’est pas présentable en comité en l’état.")</f>
        <v>Les quatre chocs laissent la valeur actuelle nette ajustée positive : le dossier est présentable en comité.</v>
      </c>
      <c r="D88" s="119"/>
      <c r="E88" s="119"/>
      <c r="F88" s="119"/>
      <c r="G88" s="119"/>
      <c r="H88" s="119"/>
    </row>
    <row r="89" customFormat="false" ht="15" hidden="false" customHeight="false" outlineLevel="0" collapsed="false">
      <c r="A89" s="120" t="s">
        <v>756</v>
      </c>
      <c r="B89" s="78"/>
      <c r="C89" s="57" t="n">
        <f aca="false">MIN(D84:D87)</f>
        <v>77501.9082644625</v>
      </c>
      <c r="D89" s="52"/>
      <c r="E89" s="52"/>
      <c r="F89" s="52"/>
      <c r="G89" s="52"/>
      <c r="H89" s="52"/>
    </row>
    <row r="90" customFormat="false" ht="26.25" hidden="false" customHeight="true" outlineLevel="0" collapsed="false">
      <c r="A90" s="79" t="s">
        <v>757</v>
      </c>
      <c r="B90" s="78"/>
      <c r="C90" s="121" t="n">
        <f aca="false">IF(ABS($E$86)=0,"",ABS($E$84)/ABS($E$86))</f>
        <v>6.79724830365266</v>
      </c>
      <c r="D90" s="122" t="s">
        <v>758</v>
      </c>
      <c r="E90" s="122"/>
      <c r="F90" s="122"/>
      <c r="G90" s="122"/>
      <c r="H90" s="122"/>
    </row>
    <row r="91" customFormat="false" ht="15" hidden="false" customHeight="true" outlineLevel="0" collapsed="false">
      <c r="A91" s="79" t="s">
        <v>759</v>
      </c>
      <c r="B91" s="78"/>
      <c r="C91" s="121" t="n">
        <f aca="false">IF(MIN(ABS($E$84),ABS($E$85),ABS($E$86),ABS($E$87))=0,"",MAX(ABS($E$84),ABS($E$85),ABS($E$86),ABS($E$87))/MIN(ABS($E$84),ABS($E$85),ABS($E$86),ABS($E$87)))</f>
        <v>76.2389593570985</v>
      </c>
      <c r="D91" s="122" t="s">
        <v>760</v>
      </c>
      <c r="E91" s="122"/>
      <c r="F91" s="122"/>
      <c r="G91" s="122"/>
      <c r="H91" s="122"/>
    </row>
    <row r="93" customFormat="false" ht="18.75" hidden="false" customHeight="true" outlineLevel="0" collapsed="false">
      <c r="A93" s="4" t="s">
        <v>761</v>
      </c>
      <c r="B93" s="4"/>
      <c r="C93" s="4"/>
      <c r="D93" s="4"/>
      <c r="E93" s="4"/>
      <c r="F93" s="4"/>
      <c r="G93" s="4"/>
      <c r="H93" s="4"/>
    </row>
    <row r="94" customFormat="false" ht="27.75" hidden="false" customHeight="true" outlineLevel="0" collapsed="false">
      <c r="A94" s="123" t="s">
        <v>762</v>
      </c>
      <c r="B94" s="123"/>
      <c r="C94" s="123"/>
      <c r="D94" s="123"/>
      <c r="E94" s="123"/>
      <c r="F94" s="123"/>
      <c r="G94" s="123"/>
      <c r="H94" s="123"/>
    </row>
    <row r="96" customFormat="false" ht="25.5" hidden="false" customHeight="true" outlineLevel="0" collapsed="false">
      <c r="A96" s="66" t="s">
        <v>763</v>
      </c>
      <c r="B96" s="124" t="n">
        <f aca="false">p_esens0</f>
        <v>0.05</v>
      </c>
      <c r="C96" s="124" t="n">
        <f aca="false">B96+p_esensP</f>
        <v>0.1</v>
      </c>
      <c r="D96" s="124" t="n">
        <f aca="false">C96+p_esensP</f>
        <v>0.15</v>
      </c>
      <c r="E96" s="124" t="n">
        <f aca="false">D96+p_esensP</f>
        <v>0.2</v>
      </c>
      <c r="F96" s="124" t="n">
        <f aca="false">E96+p_esensP</f>
        <v>0.25</v>
      </c>
      <c r="G96" s="124" t="n">
        <f aca="false">F96+p_esensP</f>
        <v>0.3</v>
      </c>
    </row>
    <row r="97" customFormat="false" ht="16.5" hidden="false" customHeight="true" outlineLevel="0" collapsed="false">
      <c r="A97" s="125" t="n">
        <f aca="false">p_asens0</f>
        <v>0.25</v>
      </c>
      <c r="B97" s="126" t="n">
        <f aca="false">IF('3. Calculateur'!$C$83=0,"",((1-p_pech)*SUMPRODUCT($C$76:$G$76,((p_V*$A97*(p_t0*p_ch-B$96*p_te*p_ch-(1-B$96)*p_t1*p_ch-(1-B$96)*p_s*p_ts*p_ch-p_cinf*$C$77:$G$77-p_sauto*p_cjuge))*(1-p_delta)*$C$78:$G$78-$C$79:$G$79-$C$80:$G$80)*$C$81:$G$81)-p_pech*'3. Calculateur'!$C$81)/'3. Calculateur'!$C$83)</f>
        <v>0.246124992528511</v>
      </c>
      <c r="C97" s="126" t="n">
        <f aca="false">IF('3. Calculateur'!$C$83=0,"",((1-p_pech)*SUMPRODUCT($C$76:$G$76,((p_V*$A97*(p_t0*p_ch-C$96*p_te*p_ch-(1-C$96)*p_t1*p_ch-(1-C$96)*p_s*p_ts*p_ch-p_cinf*$C$77:$G$77-p_sauto*p_cjuge))*(1-p_delta)*$C$78:$G$78-$C$79:$G$79-$C$80:$G$80)*$C$81:$G$81)-p_pech*'3. Calculateur'!$C$81)/'3. Calculateur'!$C$83)</f>
        <v>0.15994263998453</v>
      </c>
      <c r="D97" s="126" t="n">
        <f aca="false">IF('3. Calculateur'!$C$83=0,"",((1-p_pech)*SUMPRODUCT($C$76:$G$76,((p_V*$A97*(p_t0*p_ch-D$96*p_te*p_ch-(1-D$96)*p_t1*p_ch-(1-D$96)*p_s*p_ts*p_ch-p_cinf*$C$77:$G$77-p_sauto*p_cjuge))*(1-p_delta)*$C$78:$G$78-$C$79:$G$79-$C$80:$G$80)*$C$81:$G$81)-p_pech*'3. Calculateur'!$C$81)/'3. Calculateur'!$C$83)</f>
        <v>0.0737602874405475</v>
      </c>
      <c r="E97" s="126" t="n">
        <f aca="false">IF('3. Calculateur'!$C$83=0,"",((1-p_pech)*SUMPRODUCT($C$76:$G$76,((p_V*$A97*(p_t0*p_ch-E$96*p_te*p_ch-(1-E$96)*p_t1*p_ch-(1-E$96)*p_s*p_ts*p_ch-p_cinf*$C$77:$G$77-p_sauto*p_cjuge))*(1-p_delta)*$C$78:$G$78-$C$79:$G$79-$C$80:$G$80)*$C$81:$G$81)-p_pech*'3. Calculateur'!$C$81)/'3. Calculateur'!$C$83)</f>
        <v>-0.0124220651034346</v>
      </c>
      <c r="F97" s="126" t="n">
        <f aca="false">IF('3. Calculateur'!$C$83=0,"",((1-p_pech)*SUMPRODUCT($C$76:$G$76,((p_V*$A97*(p_t0*p_ch-F$96*p_te*p_ch-(1-F$96)*p_t1*p_ch-(1-F$96)*p_s*p_ts*p_ch-p_cinf*$C$77:$G$77-p_sauto*p_cjuge))*(1-p_delta)*$C$78:$G$78-$C$79:$G$79-$C$80:$G$80)*$C$81:$G$81)-p_pech*'3. Calculateur'!$C$81)/'3. Calculateur'!$C$83)</f>
        <v>-0.0986044176474161</v>
      </c>
      <c r="G97" s="126" t="n">
        <f aca="false">IF('3. Calculateur'!$C$83=0,"",((1-p_pech)*SUMPRODUCT($C$76:$G$76,((p_V*$A97*(p_t0*p_ch-G$96*p_te*p_ch-(1-G$96)*p_t1*p_ch-(1-G$96)*p_s*p_ts*p_ch-p_cinf*$C$77:$G$77-p_sauto*p_cjuge))*(1-p_delta)*$C$78:$G$78-$C$79:$G$79-$C$80:$G$80)*$C$81:$G$81)-p_pech*'3. Calculateur'!$C$81)/'3. Calculateur'!$C$83)</f>
        <v>-0.184786770191398</v>
      </c>
    </row>
    <row r="98" customFormat="false" ht="16.5" hidden="false" customHeight="true" outlineLevel="0" collapsed="false">
      <c r="A98" s="125" t="n">
        <f aca="false">$A97+p_asensP</f>
        <v>0.35</v>
      </c>
      <c r="B98" s="126" t="n">
        <f aca="false">IF('3. Calculateur'!$C$83=0,"",((1-p_pech)*SUMPRODUCT($C$76:$G$76,((p_V*$A98*(p_t0*p_ch-B$96*p_te*p_ch-(1-B$96)*p_t1*p_ch-(1-B$96)*p_s*p_ts*p_ch-p_cinf*$C$77:$G$77-p_sauto*p_cjuge))*(1-p_delta)*$C$78:$G$78-$C$79:$G$79-$C$80:$G$80)*$C$81:$G$81)-p_pech*'3. Calculateur'!$C$81)/'3. Calculateur'!$C$83)</f>
        <v>0.750933953408277</v>
      </c>
      <c r="C98" s="126" t="n">
        <f aca="false">IF('3. Calculateur'!$C$83=0,"",((1-p_pech)*SUMPRODUCT($C$76:$G$76,((p_V*$A98*(p_t0*p_ch-C$96*p_te*p_ch-(1-C$96)*p_t1*p_ch-(1-C$96)*p_s*p_ts*p_ch-p_cinf*$C$77:$G$77-p_sauto*p_cjuge))*(1-p_delta)*$C$78:$G$78-$C$79:$G$79-$C$80:$G$80)*$C$81:$G$81)-p_pech*'3. Calculateur'!$C$81)/'3. Calculateur'!$C$83)</f>
        <v>0.630278659846703</v>
      </c>
      <c r="D98" s="126" t="n">
        <f aca="false">IF('3. Calculateur'!$C$83=0,"",((1-p_pech)*SUMPRODUCT($C$76:$G$76,((p_V*$A98*(p_t0*p_ch-D$96*p_te*p_ch-(1-D$96)*p_t1*p_ch-(1-D$96)*p_s*p_ts*p_ch-p_cinf*$C$77:$G$77-p_sauto*p_cjuge))*(1-p_delta)*$C$78:$G$78-$C$79:$G$79-$C$80:$G$80)*$C$81:$G$81)-p_pech*'3. Calculateur'!$C$81)/'3. Calculateur'!$C$83)</f>
        <v>0.509623366285128</v>
      </c>
      <c r="E98" s="126" t="n">
        <f aca="false">IF('3. Calculateur'!$C$83=0,"",((1-p_pech)*SUMPRODUCT($C$76:$G$76,((p_V*$A98*(p_t0*p_ch-E$96*p_te*p_ch-(1-E$96)*p_t1*p_ch-(1-E$96)*p_s*p_ts*p_ch-p_cinf*$C$77:$G$77-p_sauto*p_cjuge))*(1-p_delta)*$C$78:$G$78-$C$79:$G$79-$C$80:$G$80)*$C$81:$G$81)-p_pech*'3. Calculateur'!$C$81)/'3. Calculateur'!$C$83)</f>
        <v>0.388968072723553</v>
      </c>
      <c r="F98" s="126" t="n">
        <f aca="false">IF('3. Calculateur'!$C$83=0,"",((1-p_pech)*SUMPRODUCT($C$76:$G$76,((p_V*$A98*(p_t0*p_ch-F$96*p_te*p_ch-(1-F$96)*p_t1*p_ch-(1-F$96)*p_s*p_ts*p_ch-p_cinf*$C$77:$G$77-p_sauto*p_cjuge))*(1-p_delta)*$C$78:$G$78-$C$79:$G$79-$C$80:$G$80)*$C$81:$G$81)-p_pech*'3. Calculateur'!$C$81)/'3. Calculateur'!$C$83)</f>
        <v>0.268312779161979</v>
      </c>
      <c r="G98" s="126" t="n">
        <f aca="false">IF('3. Calculateur'!$C$83=0,"",((1-p_pech)*SUMPRODUCT($C$76:$G$76,((p_V*$A98*(p_t0*p_ch-G$96*p_te*p_ch-(1-G$96)*p_t1*p_ch-(1-G$96)*p_s*p_ts*p_ch-p_cinf*$C$77:$G$77-p_sauto*p_cjuge))*(1-p_delta)*$C$78:$G$78-$C$79:$G$79-$C$80:$G$80)*$C$81:$G$81)-p_pech*'3. Calculateur'!$C$81)/'3. Calculateur'!$C$83)</f>
        <v>0.147657485600404</v>
      </c>
    </row>
    <row r="99" customFormat="false" ht="16.5" hidden="false" customHeight="true" outlineLevel="0" collapsed="false">
      <c r="A99" s="125" t="n">
        <f aca="false">$A98+p_asensP</f>
        <v>0.45</v>
      </c>
      <c r="B99" s="126" t="n">
        <f aca="false">IF('3. Calculateur'!$C$83=0,"",((1-p_pech)*SUMPRODUCT($C$76:$G$76,((p_V*$A99*(p_t0*p_ch-B$96*p_te*p_ch-(1-B$96)*p_t1*p_ch-(1-B$96)*p_s*p_ts*p_ch-p_cinf*$C$77:$G$77-p_sauto*p_cjuge))*(1-p_delta)*$C$78:$G$78-$C$79:$G$79-$C$80:$G$80)*$C$81:$G$81)-p_pech*'3. Calculateur'!$C$81)/'3. Calculateur'!$C$83)</f>
        <v>1.25574291428804</v>
      </c>
      <c r="C99" s="126" t="n">
        <f aca="false">IF('3. Calculateur'!$C$83=0,"",((1-p_pech)*SUMPRODUCT($C$76:$G$76,((p_V*$A99*(p_t0*p_ch-C$96*p_te*p_ch-(1-C$96)*p_t1*p_ch-(1-C$96)*p_s*p_ts*p_ch-p_cinf*$C$77:$G$77-p_sauto*p_cjuge))*(1-p_delta)*$C$78:$G$78-$C$79:$G$79-$C$80:$G$80)*$C$81:$G$81)-p_pech*'3. Calculateur'!$C$81)/'3. Calculateur'!$C$83)</f>
        <v>1.10061467970888</v>
      </c>
      <c r="D99" s="126" t="n">
        <f aca="false">IF('3. Calculateur'!$C$83=0,"",((1-p_pech)*SUMPRODUCT($C$76:$G$76,((p_V*$A99*(p_t0*p_ch-D$96*p_te*p_ch-(1-D$96)*p_t1*p_ch-(1-D$96)*p_s*p_ts*p_ch-p_cinf*$C$77:$G$77-p_sauto*p_cjuge))*(1-p_delta)*$C$78:$G$78-$C$79:$G$79-$C$80:$G$80)*$C$81:$G$81)-p_pech*'3. Calculateur'!$C$81)/'3. Calculateur'!$C$83)</f>
        <v>0.945486445129708</v>
      </c>
      <c r="E99" s="126" t="n">
        <f aca="false">IF('3. Calculateur'!$C$83=0,"",((1-p_pech)*SUMPRODUCT($C$76:$G$76,((p_V*$A99*(p_t0*p_ch-E$96*p_te*p_ch-(1-E$96)*p_t1*p_ch-(1-E$96)*p_s*p_ts*p_ch-p_cinf*$C$77:$G$77-p_sauto*p_cjuge))*(1-p_delta)*$C$78:$G$78-$C$79:$G$79-$C$80:$G$80)*$C$81:$G$81)-p_pech*'3. Calculateur'!$C$81)/'3. Calculateur'!$C$83)</f>
        <v>0.79035821055054</v>
      </c>
      <c r="F99" s="126" t="n">
        <f aca="false">IF('3. Calculateur'!$C$83=0,"",((1-p_pech)*SUMPRODUCT($C$76:$G$76,((p_V*$A99*(p_t0*p_ch-F$96*p_te*p_ch-(1-F$96)*p_t1*p_ch-(1-F$96)*p_s*p_ts*p_ch-p_cinf*$C$77:$G$77-p_sauto*p_cjuge))*(1-p_delta)*$C$78:$G$78-$C$79:$G$79-$C$80:$G$80)*$C$81:$G$81)-p_pech*'3. Calculateur'!$C$81)/'3. Calculateur'!$C$83)</f>
        <v>0.635229975971373</v>
      </c>
      <c r="G99" s="126" t="n">
        <f aca="false">IF('3. Calculateur'!$C$83=0,"",((1-p_pech)*SUMPRODUCT($C$76:$G$76,((p_V*$A99*(p_t0*p_ch-G$96*p_te*p_ch-(1-G$96)*p_t1*p_ch-(1-G$96)*p_s*p_ts*p_ch-p_cinf*$C$77:$G$77-p_sauto*p_cjuge))*(1-p_delta)*$C$78:$G$78-$C$79:$G$79-$C$80:$G$80)*$C$81:$G$81)-p_pech*'3. Calculateur'!$C$81)/'3. Calculateur'!$C$83)</f>
        <v>0.480101741392206</v>
      </c>
    </row>
    <row r="100" customFormat="false" ht="16.5" hidden="false" customHeight="true" outlineLevel="0" collapsed="false">
      <c r="A100" s="125" t="n">
        <f aca="false">$A99+p_asensP</f>
        <v>0.55</v>
      </c>
      <c r="B100" s="126" t="n">
        <f aca="false">IF('3. Calculateur'!$C$83=0,"",((1-p_pech)*SUMPRODUCT($C$76:$G$76,((p_V*$A100*(p_t0*p_ch-B$96*p_te*p_ch-(1-B$96)*p_t1*p_ch-(1-B$96)*p_s*p_ts*p_ch-p_cinf*$C$77:$G$77-p_sauto*p_cjuge))*(1-p_delta)*$C$78:$G$78-$C$79:$G$79-$C$80:$G$80)*$C$81:$G$81)-p_pech*'3. Calculateur'!$C$81)/'3. Calculateur'!$C$83)</f>
        <v>1.76055187516781</v>
      </c>
      <c r="C100" s="126" t="n">
        <f aca="false">IF('3. Calculateur'!$C$83=0,"",((1-p_pech)*SUMPRODUCT($C$76:$G$76,((p_V*$A100*(p_t0*p_ch-C$96*p_te*p_ch-(1-C$96)*p_t1*p_ch-(1-C$96)*p_s*p_ts*p_ch-p_cinf*$C$77:$G$77-p_sauto*p_cjuge))*(1-p_delta)*$C$78:$G$78-$C$79:$G$79-$C$80:$G$80)*$C$81:$G$81)-p_pech*'3. Calculateur'!$C$81)/'3. Calculateur'!$C$83)</f>
        <v>1.57095069957105</v>
      </c>
      <c r="D100" s="126" t="n">
        <f aca="false">IF('3. Calculateur'!$C$83=0,"",((1-p_pech)*SUMPRODUCT($C$76:$G$76,((p_V*$A100*(p_t0*p_ch-D$96*p_te*p_ch-(1-D$96)*p_t1*p_ch-(1-D$96)*p_s*p_ts*p_ch-p_cinf*$C$77:$G$77-p_sauto*p_cjuge))*(1-p_delta)*$C$78:$G$78-$C$79:$G$79-$C$80:$G$80)*$C$81:$G$81)-p_pech*'3. Calculateur'!$C$81)/'3. Calculateur'!$C$83)</f>
        <v>1.38134952397429</v>
      </c>
      <c r="E100" s="126" t="n">
        <f aca="false">IF('3. Calculateur'!$C$83=0,"",((1-p_pech)*SUMPRODUCT($C$76:$G$76,((p_V*$A100*(p_t0*p_ch-E$96*p_te*p_ch-(1-E$96)*p_t1*p_ch-(1-E$96)*p_s*p_ts*p_ch-p_cinf*$C$77:$G$77-p_sauto*p_cjuge))*(1-p_delta)*$C$78:$G$78-$C$79:$G$79-$C$80:$G$80)*$C$81:$G$81)-p_pech*'3. Calculateur'!$C$81)/'3. Calculateur'!$C$83)</f>
        <v>1.19174834837753</v>
      </c>
      <c r="F100" s="126" t="n">
        <f aca="false">IF('3. Calculateur'!$C$83=0,"",((1-p_pech)*SUMPRODUCT($C$76:$G$76,((p_V*$A100*(p_t0*p_ch-F$96*p_te*p_ch-(1-F$96)*p_t1*p_ch-(1-F$96)*p_s*p_ts*p_ch-p_cinf*$C$77:$G$77-p_sauto*p_cjuge))*(1-p_delta)*$C$78:$G$78-$C$79:$G$79-$C$80:$G$80)*$C$81:$G$81)-p_pech*'3. Calculateur'!$C$81)/'3. Calculateur'!$C$83)</f>
        <v>1.00214717278077</v>
      </c>
      <c r="G100" s="126" t="n">
        <f aca="false">IF('3. Calculateur'!$C$83=0,"",((1-p_pech)*SUMPRODUCT($C$76:$G$76,((p_V*$A100*(p_t0*p_ch-G$96*p_te*p_ch-(1-G$96)*p_t1*p_ch-(1-G$96)*p_s*p_ts*p_ch-p_cinf*$C$77:$G$77-p_sauto*p_cjuge))*(1-p_delta)*$C$78:$G$78-$C$79:$G$79-$C$80:$G$80)*$C$81:$G$81)-p_pech*'3. Calculateur'!$C$81)/'3. Calculateur'!$C$83)</f>
        <v>0.812545997184008</v>
      </c>
    </row>
    <row r="101" customFormat="false" ht="16.5" hidden="false" customHeight="true" outlineLevel="0" collapsed="false">
      <c r="A101" s="125" t="n">
        <f aca="false">$A100+p_asensP</f>
        <v>0.65</v>
      </c>
      <c r="B101" s="126" t="n">
        <f aca="false">IF('3. Calculateur'!$C$83=0,"",((1-p_pech)*SUMPRODUCT($C$76:$G$76,((p_V*$A101*(p_t0*p_ch-B$96*p_te*p_ch-(1-B$96)*p_t1*p_ch-(1-B$96)*p_s*p_ts*p_ch-p_cinf*$C$77:$G$77-p_sauto*p_cjuge))*(1-p_delta)*$C$78:$G$78-$C$79:$G$79-$C$80:$G$80)*$C$81:$G$81)-p_pech*'3. Calculateur'!$C$81)/'3. Calculateur'!$C$83)</f>
        <v>2.26536083604757</v>
      </c>
      <c r="C101" s="126" t="n">
        <f aca="false">IF('3. Calculateur'!$C$83=0,"",((1-p_pech)*SUMPRODUCT($C$76:$G$76,((p_V*$A101*(p_t0*p_ch-C$96*p_te*p_ch-(1-C$96)*p_t1*p_ch-(1-C$96)*p_s*p_ts*p_ch-p_cinf*$C$77:$G$77-p_sauto*p_cjuge))*(1-p_delta)*$C$78:$G$78-$C$79:$G$79-$C$80:$G$80)*$C$81:$G$81)-p_pech*'3. Calculateur'!$C$81)/'3. Calculateur'!$C$83)</f>
        <v>2.04128671943322</v>
      </c>
      <c r="D101" s="126" t="n">
        <f aca="false">IF('3. Calculateur'!$C$83=0,"",((1-p_pech)*SUMPRODUCT($C$76:$G$76,((p_V*$A101*(p_t0*p_ch-D$96*p_te*p_ch-(1-D$96)*p_t1*p_ch-(1-D$96)*p_s*p_ts*p_ch-p_cinf*$C$77:$G$77-p_sauto*p_cjuge))*(1-p_delta)*$C$78:$G$78-$C$79:$G$79-$C$80:$G$80)*$C$81:$G$81)-p_pech*'3. Calculateur'!$C$81)/'3. Calculateur'!$C$83)</f>
        <v>1.81721260281887</v>
      </c>
      <c r="E101" s="126" t="n">
        <f aca="false">IF('3. Calculateur'!$C$83=0,"",((1-p_pech)*SUMPRODUCT($C$76:$G$76,((p_V*$A101*(p_t0*p_ch-E$96*p_te*p_ch-(1-E$96)*p_t1*p_ch-(1-E$96)*p_s*p_ts*p_ch-p_cinf*$C$77:$G$77-p_sauto*p_cjuge))*(1-p_delta)*$C$78:$G$78-$C$79:$G$79-$C$80:$G$80)*$C$81:$G$81)-p_pech*'3. Calculateur'!$C$81)/'3. Calculateur'!$C$83)</f>
        <v>1.59313848620451</v>
      </c>
      <c r="F101" s="126" t="n">
        <f aca="false">IF('3. Calculateur'!$C$83=0,"",((1-p_pech)*SUMPRODUCT($C$76:$G$76,((p_V*$A101*(p_t0*p_ch-F$96*p_te*p_ch-(1-F$96)*p_t1*p_ch-(1-F$96)*p_s*p_ts*p_ch-p_cinf*$C$77:$G$77-p_sauto*p_cjuge))*(1-p_delta)*$C$78:$G$78-$C$79:$G$79-$C$80:$G$80)*$C$81:$G$81)-p_pech*'3. Calculateur'!$C$81)/'3. Calculateur'!$C$83)</f>
        <v>1.36906436959016</v>
      </c>
      <c r="G101" s="126" t="n">
        <f aca="false">IF('3. Calculateur'!$C$83=0,"",((1-p_pech)*SUMPRODUCT($C$76:$G$76,((p_V*$A101*(p_t0*p_ch-G$96*p_te*p_ch-(1-G$96)*p_t1*p_ch-(1-G$96)*p_s*p_ts*p_ch-p_cinf*$C$77:$G$77-p_sauto*p_cjuge))*(1-p_delta)*$C$78:$G$78-$C$79:$G$79-$C$80:$G$80)*$C$81:$G$81)-p_pech*'3. Calculateur'!$C$81)/'3. Calculateur'!$C$83)</f>
        <v>1.14499025297581</v>
      </c>
    </row>
    <row r="102" customFormat="false" ht="16.5" hidden="false" customHeight="true" outlineLevel="0" collapsed="false">
      <c r="A102" s="125" t="n">
        <f aca="false">$A101+p_asensP</f>
        <v>0.75</v>
      </c>
      <c r="B102" s="126" t="n">
        <f aca="false">IF('3. Calculateur'!$C$83=0,"",((1-p_pech)*SUMPRODUCT($C$76:$G$76,((p_V*$A102*(p_t0*p_ch-B$96*p_te*p_ch-(1-B$96)*p_t1*p_ch-(1-B$96)*p_s*p_ts*p_ch-p_cinf*$C$77:$G$77-p_sauto*p_cjuge))*(1-p_delta)*$C$78:$G$78-$C$79:$G$79-$C$80:$G$80)*$C$81:$G$81)-p_pech*'3. Calculateur'!$C$81)/'3. Calculateur'!$C$83)</f>
        <v>2.77016979692734</v>
      </c>
      <c r="C102" s="126" t="n">
        <f aca="false">IF('3. Calculateur'!$C$83=0,"",((1-p_pech)*SUMPRODUCT($C$76:$G$76,((p_V*$A102*(p_t0*p_ch-C$96*p_te*p_ch-(1-C$96)*p_t1*p_ch-(1-C$96)*p_s*p_ts*p_ch-p_cinf*$C$77:$G$77-p_sauto*p_cjuge))*(1-p_delta)*$C$78:$G$78-$C$79:$G$79-$C$80:$G$80)*$C$81:$G$81)-p_pech*'3. Calculateur'!$C$81)/'3. Calculateur'!$C$83)</f>
        <v>2.51162273929539</v>
      </c>
      <c r="D102" s="126" t="n">
        <f aca="false">IF('3. Calculateur'!$C$83=0,"",((1-p_pech)*SUMPRODUCT($C$76:$G$76,((p_V*$A102*(p_t0*p_ch-D$96*p_te*p_ch-(1-D$96)*p_t1*p_ch-(1-D$96)*p_s*p_ts*p_ch-p_cinf*$C$77:$G$77-p_sauto*p_cjuge))*(1-p_delta)*$C$78:$G$78-$C$79:$G$79-$C$80:$G$80)*$C$81:$G$81)-p_pech*'3. Calculateur'!$C$81)/'3. Calculateur'!$C$83)</f>
        <v>2.25307568166345</v>
      </c>
      <c r="E102" s="126" t="n">
        <f aca="false">IF('3. Calculateur'!$C$83=0,"",((1-p_pech)*SUMPRODUCT($C$76:$G$76,((p_V*$A102*(p_t0*p_ch-E$96*p_te*p_ch-(1-E$96)*p_t1*p_ch-(1-E$96)*p_s*p_ts*p_ch-p_cinf*$C$77:$G$77-p_sauto*p_cjuge))*(1-p_delta)*$C$78:$G$78-$C$79:$G$79-$C$80:$G$80)*$C$81:$G$81)-p_pech*'3. Calculateur'!$C$81)/'3. Calculateur'!$C$83)</f>
        <v>1.9945286240315</v>
      </c>
      <c r="F102" s="126" t="n">
        <f aca="false">IF('3. Calculateur'!$C$83=0,"",((1-p_pech)*SUMPRODUCT($C$76:$G$76,((p_V*$A102*(p_t0*p_ch-F$96*p_te*p_ch-(1-F$96)*p_t1*p_ch-(1-F$96)*p_s*p_ts*p_ch-p_cinf*$C$77:$G$77-p_sauto*p_cjuge))*(1-p_delta)*$C$78:$G$78-$C$79:$G$79-$C$80:$G$80)*$C$81:$G$81)-p_pech*'3. Calculateur'!$C$81)/'3. Calculateur'!$C$83)</f>
        <v>1.73598156639956</v>
      </c>
      <c r="G102" s="126" t="n">
        <f aca="false">IF('3. Calculateur'!$C$83=0,"",((1-p_pech)*SUMPRODUCT($C$76:$G$76,((p_V*$A102*(p_t0*p_ch-G$96*p_te*p_ch-(1-G$96)*p_t1*p_ch-(1-G$96)*p_s*p_ts*p_ch-p_cinf*$C$77:$G$77-p_sauto*p_cjuge))*(1-p_delta)*$C$78:$G$78-$C$79:$G$79-$C$80:$G$80)*$C$81:$G$81)-p_pech*'3. Calculateur'!$C$81)/'3. Calculateur'!$C$83)</f>
        <v>1.47743450876761</v>
      </c>
    </row>
    <row r="103" customFormat="false" ht="16.5" hidden="false" customHeight="true" outlineLevel="0" collapsed="false">
      <c r="A103" s="125" t="n">
        <f aca="false">$A102+p_asensP</f>
        <v>0.85</v>
      </c>
      <c r="B103" s="126" t="n">
        <f aca="false">IF('3. Calculateur'!$C$83=0,"",((1-p_pech)*SUMPRODUCT($C$76:$G$76,((p_V*$A103*(p_t0*p_ch-B$96*p_te*p_ch-(1-B$96)*p_t1*p_ch-(1-B$96)*p_s*p_ts*p_ch-p_cinf*$C$77:$G$77-p_sauto*p_cjuge))*(1-p_delta)*$C$78:$G$78-$C$79:$G$79-$C$80:$G$80)*$C$81:$G$81)-p_pech*'3. Calculateur'!$C$81)/'3. Calculateur'!$C$83)</f>
        <v>3.27497875780711</v>
      </c>
      <c r="C103" s="126" t="n">
        <f aca="false">IF('3. Calculateur'!$C$83=0,"",((1-p_pech)*SUMPRODUCT($C$76:$G$76,((p_V*$A103*(p_t0*p_ch-C$96*p_te*p_ch-(1-C$96)*p_t1*p_ch-(1-C$96)*p_s*p_ts*p_ch-p_cinf*$C$77:$G$77-p_sauto*p_cjuge))*(1-p_delta)*$C$78:$G$78-$C$79:$G$79-$C$80:$G$80)*$C$81:$G$81)-p_pech*'3. Calculateur'!$C$81)/'3. Calculateur'!$C$83)</f>
        <v>2.98195875915757</v>
      </c>
      <c r="D103" s="126" t="n">
        <f aca="false">IF('3. Calculateur'!$C$83=0,"",((1-p_pech)*SUMPRODUCT($C$76:$G$76,((p_V*$A103*(p_t0*p_ch-D$96*p_te*p_ch-(1-D$96)*p_t1*p_ch-(1-D$96)*p_s*p_ts*p_ch-p_cinf*$C$77:$G$77-p_sauto*p_cjuge))*(1-p_delta)*$C$78:$G$78-$C$79:$G$79-$C$80:$G$80)*$C$81:$G$81)-p_pech*'3. Calculateur'!$C$81)/'3. Calculateur'!$C$83)</f>
        <v>2.68893876050803</v>
      </c>
      <c r="E103" s="126" t="n">
        <f aca="false">IF('3. Calculateur'!$C$83=0,"",((1-p_pech)*SUMPRODUCT($C$76:$G$76,((p_V*$A103*(p_t0*p_ch-E$96*p_te*p_ch-(1-E$96)*p_t1*p_ch-(1-E$96)*p_s*p_ts*p_ch-p_cinf*$C$77:$G$77-p_sauto*p_cjuge))*(1-p_delta)*$C$78:$G$78-$C$79:$G$79-$C$80:$G$80)*$C$81:$G$81)-p_pech*'3. Calculateur'!$C$81)/'3. Calculateur'!$C$83)</f>
        <v>2.39591876185849</v>
      </c>
      <c r="F103" s="126" t="n">
        <f aca="false">IF('3. Calculateur'!$C$83=0,"",((1-p_pech)*SUMPRODUCT($C$76:$G$76,((p_V*$A103*(p_t0*p_ch-F$96*p_te*p_ch-(1-F$96)*p_t1*p_ch-(1-F$96)*p_s*p_ts*p_ch-p_cinf*$C$77:$G$77-p_sauto*p_cjuge))*(1-p_delta)*$C$78:$G$78-$C$79:$G$79-$C$80:$G$80)*$C$81:$G$81)-p_pech*'3. Calculateur'!$C$81)/'3. Calculateur'!$C$83)</f>
        <v>2.10289876320895</v>
      </c>
      <c r="G103" s="126" t="n">
        <f aca="false">IF('3. Calculateur'!$C$83=0,"",((1-p_pech)*SUMPRODUCT($C$76:$G$76,((p_V*$A103*(p_t0*p_ch-G$96*p_te*p_ch-(1-G$96)*p_t1*p_ch-(1-G$96)*p_s*p_ts*p_ch-p_cinf*$C$77:$G$77-p_sauto*p_cjuge))*(1-p_delta)*$C$78:$G$78-$C$79:$G$79-$C$80:$G$80)*$C$81:$G$81)-p_pech*'3. Calculateur'!$C$81)/'3. Calculateur'!$C$83)</f>
        <v>1.80987876455941</v>
      </c>
    </row>
    <row r="104" customFormat="false" ht="16.5" hidden="false" customHeight="true" outlineLevel="0" collapsed="false">
      <c r="A104" s="125" t="n">
        <f aca="false">$A103+p_asensP</f>
        <v>0.95</v>
      </c>
      <c r="B104" s="126" t="n">
        <f aca="false">IF('3. Calculateur'!$C$83=0,"",((1-p_pech)*SUMPRODUCT($C$76:$G$76,((p_V*$A104*(p_t0*p_ch-B$96*p_te*p_ch-(1-B$96)*p_t1*p_ch-(1-B$96)*p_s*p_ts*p_ch-p_cinf*$C$77:$G$77-p_sauto*p_cjuge))*(1-p_delta)*$C$78:$G$78-$C$79:$G$79-$C$80:$G$80)*$C$81:$G$81)-p_pech*'3. Calculateur'!$C$81)/'3. Calculateur'!$C$83)</f>
        <v>3.77978771868687</v>
      </c>
      <c r="C104" s="126" t="n">
        <f aca="false">IF('3. Calculateur'!$C$83=0,"",((1-p_pech)*SUMPRODUCT($C$76:$G$76,((p_V*$A104*(p_t0*p_ch-C$96*p_te*p_ch-(1-C$96)*p_t1*p_ch-(1-C$96)*p_s*p_ts*p_ch-p_cinf*$C$77:$G$77-p_sauto*p_cjuge))*(1-p_delta)*$C$78:$G$78-$C$79:$G$79-$C$80:$G$80)*$C$81:$G$81)-p_pech*'3. Calculateur'!$C$81)/'3. Calculateur'!$C$83)</f>
        <v>3.45229477901974</v>
      </c>
      <c r="D104" s="126" t="n">
        <f aca="false">IF('3. Calculateur'!$C$83=0,"",((1-p_pech)*SUMPRODUCT($C$76:$G$76,((p_V*$A104*(p_t0*p_ch-D$96*p_te*p_ch-(1-D$96)*p_t1*p_ch-(1-D$96)*p_s*p_ts*p_ch-p_cinf*$C$77:$G$77-p_sauto*p_cjuge))*(1-p_delta)*$C$78:$G$78-$C$79:$G$79-$C$80:$G$80)*$C$81:$G$81)-p_pech*'3. Calculateur'!$C$81)/'3. Calculateur'!$C$83)</f>
        <v>3.12480183935261</v>
      </c>
      <c r="E104" s="126" t="n">
        <f aca="false">IF('3. Calculateur'!$C$83=0,"",((1-p_pech)*SUMPRODUCT($C$76:$G$76,((p_V*$A104*(p_t0*p_ch-E$96*p_te*p_ch-(1-E$96)*p_t1*p_ch-(1-E$96)*p_s*p_ts*p_ch-p_cinf*$C$77:$G$77-p_sauto*p_cjuge))*(1-p_delta)*$C$78:$G$78-$C$79:$G$79-$C$80:$G$80)*$C$81:$G$81)-p_pech*'3. Calculateur'!$C$81)/'3. Calculateur'!$C$83)</f>
        <v>2.79730889968548</v>
      </c>
      <c r="F104" s="126" t="n">
        <f aca="false">IF('3. Calculateur'!$C$83=0,"",((1-p_pech)*SUMPRODUCT($C$76:$G$76,((p_V*$A104*(p_t0*p_ch-F$96*p_te*p_ch-(1-F$96)*p_t1*p_ch-(1-F$96)*p_s*p_ts*p_ch-p_cinf*$C$77:$G$77-p_sauto*p_cjuge))*(1-p_delta)*$C$78:$G$78-$C$79:$G$79-$C$80:$G$80)*$C$81:$G$81)-p_pech*'3. Calculateur'!$C$81)/'3. Calculateur'!$C$83)</f>
        <v>2.46981596001835</v>
      </c>
      <c r="G104" s="126" t="n">
        <f aca="false">IF('3. Calculateur'!$C$83=0,"",((1-p_pech)*SUMPRODUCT($C$76:$G$76,((p_V*$A104*(p_t0*p_ch-G$96*p_te*p_ch-(1-G$96)*p_t1*p_ch-(1-G$96)*p_s*p_ts*p_ch-p_cinf*$C$77:$G$77-p_sauto*p_cjuge))*(1-p_delta)*$C$78:$G$78-$C$79:$G$79-$C$80:$G$80)*$C$81:$G$81)-p_pech*'3. Calculateur'!$C$81)/'3. Calculateur'!$C$83)</f>
        <v>2.14232302035122</v>
      </c>
    </row>
    <row r="105" customFormat="false" ht="27.75" hidden="false" customHeight="true" outlineLevel="0" collapsed="false">
      <c r="A105" s="25" t="s">
        <v>764</v>
      </c>
      <c r="B105" s="25"/>
      <c r="C105" s="25"/>
      <c r="D105" s="25"/>
      <c r="E105" s="25"/>
      <c r="F105" s="25"/>
      <c r="G105" s="25"/>
      <c r="H105" s="25"/>
    </row>
  </sheetData>
  <mergeCells count="29">
    <mergeCell ref="A1:H1"/>
    <mergeCell ref="A2:H2"/>
    <mergeCell ref="A3:H3"/>
    <mergeCell ref="A5:H5"/>
    <mergeCell ref="A23:H23"/>
    <mergeCell ref="C24:F24"/>
    <mergeCell ref="C25:F25"/>
    <mergeCell ref="C26:F26"/>
    <mergeCell ref="C27:F27"/>
    <mergeCell ref="C28:F28"/>
    <mergeCell ref="C29:F29"/>
    <mergeCell ref="C30:F30"/>
    <mergeCell ref="C31:F31"/>
    <mergeCell ref="C32:F32"/>
    <mergeCell ref="C33:F33"/>
    <mergeCell ref="C34:F34"/>
    <mergeCell ref="A36:H36"/>
    <mergeCell ref="A43:H43"/>
    <mergeCell ref="A49:H49"/>
    <mergeCell ref="A60:H60"/>
    <mergeCell ref="A71:H71"/>
    <mergeCell ref="A73:H73"/>
    <mergeCell ref="A74:H74"/>
    <mergeCell ref="C88:H88"/>
    <mergeCell ref="D90:H90"/>
    <mergeCell ref="D91:H91"/>
    <mergeCell ref="A93:H93"/>
    <mergeCell ref="A94:H94"/>
    <mergeCell ref="A105:H105"/>
  </mergeCells>
  <conditionalFormatting sqref="B97:G104">
    <cfRule type="colorScale" priority="2">
      <colorScale>
        <cfvo type="num" val="0"/>
        <cfvo type="num" val="1"/>
        <cfvo type="max" val="0"/>
        <color rgb="FFF4C7C3"/>
        <color rgb="FFFDF6E3"/>
        <color rgb="FFCFE3D4"/>
      </colorScale>
    </cfRule>
  </conditionalFormatting>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A3A6E"/>
    <pageSetUpPr fitToPage="true"/>
  </sheetPr>
  <dimension ref="A1:R7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3" ySplit="5" topLeftCell="D6" activePane="bottomRight" state="frozen"/>
      <selection pane="topLeft" activeCell="A1" activeCellId="0" sqref="A1"/>
      <selection pane="topRight" activeCell="D1" activeCellId="0" sqref="D1"/>
      <selection pane="bottomLeft" activeCell="A6" activeCellId="0" sqref="A6"/>
      <selection pane="bottomRight" activeCell="A1" activeCellId="0" sqref="A1"/>
    </sheetView>
  </sheetViews>
  <sheetFormatPr defaultColWidth="8.6796875" defaultRowHeight="15" zeroHeight="false" outlineLevelRow="0" outlineLevelCol="0"/>
  <cols>
    <col collapsed="false" customWidth="true" hidden="false" outlineLevel="0" max="1" min="1" style="0" width="7"/>
    <col collapsed="false" customWidth="true" hidden="false" outlineLevel="0" max="2" min="2" style="0" width="11"/>
    <col collapsed="false" customWidth="true" hidden="false" outlineLevel="0" max="3" min="3" style="0" width="40"/>
    <col collapsed="false" customWidth="true" hidden="false" outlineLevel="0" max="4" min="4" style="0" width="22"/>
    <col collapsed="false" customWidth="true" hidden="false" outlineLevel="0" max="7" min="5" style="0" width="15"/>
    <col collapsed="false" customWidth="true" hidden="false" outlineLevel="0" max="8" min="8" style="0" width="16"/>
    <col collapsed="false" customWidth="true" hidden="false" outlineLevel="0" max="9" min="9" style="0" width="17"/>
    <col collapsed="false" customWidth="true" hidden="false" outlineLevel="0" max="10" min="10" style="0" width="12"/>
    <col collapsed="false" customWidth="true" hidden="false" outlineLevel="0" max="11" min="11" style="0" width="22"/>
    <col collapsed="false" customWidth="true" hidden="false" outlineLevel="0" max="12" min="12" style="0" width="13"/>
    <col collapsed="false" customWidth="true" hidden="false" outlineLevel="0" max="14" min="13" style="0" width="16"/>
    <col collapsed="false" customWidth="true" hidden="false" outlineLevel="0" max="16" min="15" style="0" width="10"/>
    <col collapsed="false" customWidth="true" hidden="false" outlineLevel="0" max="17" min="17" style="0" width="9"/>
    <col collapsed="false" customWidth="true" hidden="false" outlineLevel="0" max="18" min="18" style="0" width="10"/>
  </cols>
  <sheetData>
    <row r="1" customFormat="false" ht="30" hidden="false" customHeight="true" outlineLevel="0" collapsed="false">
      <c r="A1" s="1" t="s">
        <v>765</v>
      </c>
      <c r="B1" s="1"/>
      <c r="C1" s="1"/>
      <c r="D1" s="1"/>
      <c r="E1" s="1"/>
      <c r="F1" s="1"/>
      <c r="G1" s="1"/>
      <c r="H1" s="1"/>
      <c r="I1" s="1"/>
      <c r="J1" s="1"/>
      <c r="K1" s="1"/>
      <c r="L1" s="1"/>
      <c r="M1" s="1"/>
      <c r="N1" s="1"/>
      <c r="O1" s="1"/>
      <c r="P1" s="1"/>
      <c r="Q1" s="1"/>
    </row>
    <row r="2" customFormat="false" ht="19.5" hidden="false" customHeight="true" outlineLevel="0" collapsed="false">
      <c r="A2" s="2" t="s">
        <v>766</v>
      </c>
      <c r="B2" s="2"/>
      <c r="C2" s="2"/>
      <c r="D2" s="2"/>
      <c r="E2" s="2"/>
      <c r="F2" s="2"/>
      <c r="G2" s="2"/>
      <c r="H2" s="2"/>
      <c r="I2" s="2"/>
      <c r="J2" s="2"/>
      <c r="K2" s="2"/>
      <c r="L2" s="2"/>
      <c r="M2" s="2"/>
      <c r="N2" s="2"/>
      <c r="O2" s="2"/>
      <c r="P2" s="2"/>
      <c r="Q2" s="2"/>
    </row>
    <row r="3" customFormat="false" ht="15.75" hidden="false" customHeight="true" outlineLevel="0" collapsed="false">
      <c r="A3" s="3" t="s">
        <v>767</v>
      </c>
      <c r="B3" s="3"/>
      <c r="C3" s="3"/>
      <c r="D3" s="3"/>
      <c r="E3" s="3"/>
      <c r="F3" s="3"/>
      <c r="G3" s="3"/>
      <c r="H3" s="3"/>
      <c r="I3" s="3"/>
      <c r="J3" s="3"/>
      <c r="K3" s="3"/>
      <c r="L3" s="3"/>
      <c r="M3" s="3"/>
      <c r="N3" s="3"/>
      <c r="O3" s="3"/>
      <c r="P3" s="3"/>
      <c r="Q3" s="3"/>
    </row>
    <row r="5" customFormat="false" ht="15.75" hidden="false" customHeight="true" outlineLevel="0" collapsed="false">
      <c r="A5" s="26" t="s">
        <v>768</v>
      </c>
      <c r="B5" s="26"/>
      <c r="C5" s="26"/>
      <c r="D5" s="26"/>
      <c r="E5" s="26"/>
      <c r="F5" s="26"/>
      <c r="G5" s="26"/>
      <c r="H5" s="26"/>
      <c r="I5" s="26"/>
      <c r="J5" s="26"/>
      <c r="K5" s="26"/>
      <c r="L5" s="26"/>
      <c r="M5" s="26"/>
      <c r="N5" s="26"/>
      <c r="O5" s="26"/>
      <c r="P5" s="26"/>
      <c r="Q5" s="26"/>
    </row>
    <row r="6" customFormat="false" ht="13.5" hidden="false" customHeight="true" outlineLevel="0" collapsed="false">
      <c r="A6" s="127"/>
      <c r="B6" s="127"/>
      <c r="C6" s="128" t="s">
        <v>474</v>
      </c>
      <c r="D6" s="129" t="n">
        <f aca="false">COLUMN(D6)-COLUMN($C$6)</f>
        <v>1</v>
      </c>
      <c r="E6" s="129" t="n">
        <f aca="false">COLUMN(E6)-COLUMN($C$6)</f>
        <v>2</v>
      </c>
      <c r="F6" s="129" t="n">
        <f aca="false">COLUMN(F6)-COLUMN($C$6)</f>
        <v>3</v>
      </c>
      <c r="G6" s="129" t="n">
        <f aca="false">COLUMN(G6)-COLUMN($C$6)</f>
        <v>4</v>
      </c>
      <c r="H6" s="129" t="n">
        <f aca="false">COLUMN(H6)-COLUMN($C$6)</f>
        <v>5</v>
      </c>
      <c r="I6" s="52"/>
      <c r="J6" s="52"/>
      <c r="K6" s="52"/>
      <c r="L6" s="52"/>
      <c r="M6" s="52"/>
      <c r="N6" s="52"/>
      <c r="O6" s="52"/>
      <c r="P6" s="52"/>
      <c r="Q6" s="52"/>
    </row>
    <row r="7" customFormat="false" ht="13.5" hidden="false" customHeight="true" outlineLevel="0" collapsed="false">
      <c r="A7" s="127"/>
      <c r="B7" s="127"/>
      <c r="C7" s="128" t="s">
        <v>741</v>
      </c>
      <c r="D7" s="129" t="n">
        <f aca="false">IF(D$6&lt;=p_horiz,1,0)</f>
        <v>1</v>
      </c>
      <c r="E7" s="129" t="n">
        <f aca="false">IF(E$6&lt;=p_horiz,1,0)</f>
        <v>1</v>
      </c>
      <c r="F7" s="129" t="n">
        <f aca="false">IF(F$6&lt;=p_horiz,1,0)</f>
        <v>1</v>
      </c>
      <c r="G7" s="129" t="n">
        <f aca="false">IF(G$6&lt;=p_horiz,1,0)</f>
        <v>0</v>
      </c>
      <c r="H7" s="129" t="n">
        <f aca="false">IF(H$6&lt;=p_horiz,1,0)</f>
        <v>0</v>
      </c>
      <c r="I7" s="52"/>
      <c r="J7" s="52"/>
      <c r="K7" s="52"/>
      <c r="L7" s="52"/>
      <c r="M7" s="52"/>
      <c r="N7" s="52"/>
      <c r="O7" s="52"/>
      <c r="P7" s="52"/>
      <c r="Q7" s="52"/>
    </row>
    <row r="8" customFormat="false" ht="13.5" hidden="false" customHeight="true" outlineLevel="0" collapsed="false">
      <c r="A8" s="127"/>
      <c r="B8" s="127"/>
      <c r="C8" s="128" t="s">
        <v>742</v>
      </c>
      <c r="D8" s="114" t="n">
        <f aca="false">(1+p_g)^(D$6-1)</f>
        <v>1</v>
      </c>
      <c r="E8" s="114" t="n">
        <f aca="false">(1+p_g)^(E$6-1)</f>
        <v>1.5</v>
      </c>
      <c r="F8" s="114" t="n">
        <f aca="false">(1+p_g)^(F$6-1)</f>
        <v>2.25</v>
      </c>
      <c r="G8" s="114" t="n">
        <f aca="false">(1+p_g)^(G$6-1)</f>
        <v>3.375</v>
      </c>
      <c r="H8" s="114" t="n">
        <f aca="false">(1+p_g)^(H$6-1)</f>
        <v>5.0625</v>
      </c>
      <c r="I8" s="52"/>
      <c r="J8" s="52"/>
      <c r="K8" s="52"/>
      <c r="L8" s="52"/>
      <c r="M8" s="52"/>
      <c r="N8" s="52"/>
      <c r="O8" s="52"/>
      <c r="P8" s="52"/>
      <c r="Q8" s="52"/>
    </row>
    <row r="9" customFormat="false" ht="13.5" hidden="false" customHeight="true" outlineLevel="0" collapsed="false">
      <c r="A9" s="127"/>
      <c r="B9" s="127"/>
      <c r="C9" s="128" t="s">
        <v>743</v>
      </c>
      <c r="D9" s="114" t="n">
        <f aca="false">(1-p_d)^(D$6-1)</f>
        <v>1</v>
      </c>
      <c r="E9" s="114" t="n">
        <f aca="false">(1-p_d)^(E$6-1)</f>
        <v>0.95</v>
      </c>
      <c r="F9" s="114" t="n">
        <f aca="false">(1-p_d)^(F$6-1)</f>
        <v>0.9025</v>
      </c>
      <c r="G9" s="114" t="n">
        <f aca="false">(1-p_d)^(G$6-1)</f>
        <v>0.857375</v>
      </c>
      <c r="H9" s="114" t="n">
        <f aca="false">(1-p_d)^(H$6-1)</f>
        <v>0.81450625</v>
      </c>
      <c r="I9" s="52"/>
      <c r="J9" s="52"/>
      <c r="K9" s="52"/>
      <c r="L9" s="52"/>
      <c r="M9" s="52"/>
      <c r="N9" s="52"/>
      <c r="O9" s="52"/>
      <c r="P9" s="52"/>
      <c r="Q9" s="52"/>
    </row>
    <row r="10" customFormat="false" ht="13.5" hidden="false" customHeight="true" outlineLevel="0" collapsed="false">
      <c r="A10" s="127"/>
      <c r="B10" s="127"/>
      <c r="C10" s="128" t="s">
        <v>511</v>
      </c>
      <c r="D10" s="114" t="n">
        <f aca="false">1/(1+p_r)^D$6</f>
        <v>0.909090909090909</v>
      </c>
      <c r="E10" s="114" t="n">
        <f aca="false">1/(1+p_r)^E$6</f>
        <v>0.826446280991735</v>
      </c>
      <c r="F10" s="114" t="n">
        <f aca="false">1/(1+p_r)^F$6</f>
        <v>0.751314800901578</v>
      </c>
      <c r="G10" s="114" t="n">
        <f aca="false">1/(1+p_r)^G$6</f>
        <v>0.683013455365071</v>
      </c>
      <c r="H10" s="114" t="n">
        <f aca="false">1/(1+p_r)^H$6</f>
        <v>0.620921323059155</v>
      </c>
      <c r="I10" s="52"/>
      <c r="J10" s="52"/>
      <c r="K10" s="52"/>
      <c r="L10" s="52"/>
      <c r="M10" s="52"/>
      <c r="N10" s="52"/>
      <c r="O10" s="52"/>
      <c r="P10" s="52"/>
      <c r="Q10" s="52"/>
    </row>
    <row r="11" customFormat="false" ht="13.5" hidden="false" customHeight="true" outlineLevel="0" collapsed="false">
      <c r="A11" s="127"/>
      <c r="B11" s="127"/>
      <c r="C11" s="128" t="s">
        <v>769</v>
      </c>
      <c r="D11" s="129" t="n">
        <f aca="false">IF(D$6=1,1,0)</f>
        <v>1</v>
      </c>
      <c r="E11" s="129" t="n">
        <f aca="false">IF(E$6=1,1,0)</f>
        <v>0</v>
      </c>
      <c r="F11" s="129" t="n">
        <f aca="false">IF(F$6=1,1,0)</f>
        <v>0</v>
      </c>
      <c r="G11" s="129" t="n">
        <f aca="false">IF(G$6=1,1,0)</f>
        <v>0</v>
      </c>
      <c r="H11" s="129" t="n">
        <f aca="false">IF(H$6=1,1,0)</f>
        <v>0</v>
      </c>
      <c r="I11" s="52"/>
      <c r="J11" s="52"/>
      <c r="K11" s="52"/>
      <c r="L11" s="52"/>
      <c r="M11" s="52"/>
      <c r="N11" s="52"/>
      <c r="O11" s="52"/>
      <c r="P11" s="52"/>
      <c r="Q11" s="52"/>
    </row>
    <row r="13" customFormat="false" ht="15.75" hidden="false" customHeight="true" outlineLevel="0" collapsed="false">
      <c r="A13" s="26" t="s">
        <v>770</v>
      </c>
      <c r="B13" s="26"/>
      <c r="C13" s="26"/>
      <c r="D13" s="26"/>
      <c r="E13" s="26"/>
      <c r="F13" s="26"/>
      <c r="G13" s="26"/>
      <c r="H13" s="26"/>
      <c r="I13" s="26"/>
      <c r="J13" s="26"/>
      <c r="K13" s="26"/>
      <c r="L13" s="26"/>
      <c r="M13" s="26"/>
      <c r="N13" s="26"/>
      <c r="O13" s="26"/>
      <c r="P13" s="26"/>
      <c r="Q13" s="26"/>
    </row>
    <row r="14" customFormat="false" ht="30" hidden="false" customHeight="true" outlineLevel="0" collapsed="false">
      <c r="A14" s="8"/>
      <c r="B14" s="8" t="s">
        <v>350</v>
      </c>
      <c r="C14" s="8" t="s">
        <v>349</v>
      </c>
      <c r="D14" s="8" t="s">
        <v>771</v>
      </c>
      <c r="E14" s="8" t="s">
        <v>772</v>
      </c>
      <c r="F14" s="8" t="s">
        <v>773</v>
      </c>
      <c r="G14" s="8" t="s">
        <v>774</v>
      </c>
      <c r="H14" s="8" t="s">
        <v>775</v>
      </c>
      <c r="I14" s="8" t="s">
        <v>776</v>
      </c>
      <c r="J14" s="8" t="s">
        <v>777</v>
      </c>
      <c r="K14" s="8" t="s">
        <v>778</v>
      </c>
      <c r="L14" s="8" t="s">
        <v>779</v>
      </c>
      <c r="M14" s="8" t="s">
        <v>780</v>
      </c>
      <c r="N14" s="8" t="s">
        <v>781</v>
      </c>
      <c r="O14" s="8" t="s">
        <v>782</v>
      </c>
      <c r="P14" s="8" t="s">
        <v>783</v>
      </c>
      <c r="Q14" s="8" t="s">
        <v>784</v>
      </c>
      <c r="R14" s="8" t="s">
        <v>785</v>
      </c>
    </row>
    <row r="15" customFormat="false" ht="13.5" hidden="false" customHeight="true" outlineLevel="0" collapsed="false">
      <c r="A15" s="127"/>
      <c r="B15" s="130" t="str">
        <f aca="false">'2. Hypothèses'!$C$84</f>
        <v>FT-01</v>
      </c>
      <c r="C15" s="131" t="str">
        <f aca="false">'2. Hypothèses'!$B$84</f>
        <v>Investigation LCB-FT</v>
      </c>
      <c r="D15" s="132" t="n">
        <f aca="false">IF($D$7=1,('2. Hypothèses'!$E$84*'2. Hypothèses'!$K$84*('2. Hypothèses'!$F$84*p_ch-'2. Hypothèses'!$L$84*'2. Hypothèses'!$J$84*p_ch-(1-'2. Hypothèses'!$L$84)*'2. Hypothèses'!$G$84*p_ch-(1-'2. Hypothèses'!$L$84)*p_s*p_ts*p_ch-'2. Hypothèses'!$M$84*$D$8-p_sauto*p_cjuge))*(1-p_delta)*$D$9-(('2. Hypothèses'!$P$84+'2. Hypothèses'!$Q$84)*p_Cetp+$D$11*('2. Hypothèses'!$N$84+'2. Hypothèses'!$O$84))-p_lam*p_Cinc,0)</f>
        <v>887293.8</v>
      </c>
      <c r="E15" s="132" t="n">
        <f aca="false">IF($E$7=1,('2. Hypothèses'!$E$84*'2. Hypothèses'!$K$84*('2. Hypothèses'!$F$84*p_ch-'2. Hypothèses'!$L$84*'2. Hypothèses'!$J$84*p_ch-(1-'2. Hypothèses'!$L$84)*'2. Hypothèses'!$G$84*p_ch-(1-'2. Hypothèses'!$L$84)*p_s*p_ts*p_ch-'2. Hypothèses'!$M$84*$E$8-p_sauto*p_cjuge))*(1-p_delta)*$E$9-(('2. Hypothèses'!$P$84+'2. Hypothèses'!$Q$84)*p_Cetp+$E$11*('2. Hypothèses'!$N$84+'2. Hypothèses'!$O$84))-p_lam*p_Cinc,0)</f>
        <v>997916.61</v>
      </c>
      <c r="F15" s="132" t="n">
        <f aca="false">IF($F$7=1,('2. Hypothèses'!$E$84*'2. Hypothèses'!$K$84*('2. Hypothèses'!$F$84*p_ch-'2. Hypothèses'!$L$84*'2. Hypothèses'!$J$84*p_ch-(1-'2. Hypothèses'!$L$84)*'2. Hypothèses'!$G$84*p_ch-(1-'2. Hypothèses'!$L$84)*p_s*p_ts*p_ch-'2. Hypothèses'!$M$84*$F$8-p_sauto*p_cjuge))*(1-p_delta)*$F$9-(('2. Hypothèses'!$P$84+'2. Hypothèses'!$Q$84)*p_Cetp+$F$11*('2. Hypothèses'!$N$84+'2. Hypothèses'!$O$84))-p_lam*p_Cinc,0)</f>
        <v>893515.467</v>
      </c>
      <c r="G15" s="132" t="n">
        <f aca="false">IF($G$7=1,('2. Hypothèses'!$E$84*'2. Hypothèses'!$K$84*('2. Hypothèses'!$F$84*p_ch-'2. Hypothèses'!$L$84*'2. Hypothèses'!$J$84*p_ch-(1-'2. Hypothèses'!$L$84)*'2. Hypothèses'!$G$84*p_ch-(1-'2. Hypothèses'!$L$84)*p_s*p_ts*p_ch-'2. Hypothèses'!$M$84*$G$8-p_sauto*p_cjuge))*(1-p_delta)*$G$9-(('2. Hypothèses'!$P$84+'2. Hypothèses'!$Q$84)*p_Cetp+$G$11*('2. Hypothèses'!$N$84+'2. Hypothèses'!$O$84))-p_lam*p_Cinc,0)</f>
        <v>0</v>
      </c>
      <c r="H15" s="132" t="n">
        <f aca="false">IF($H$7=1,('2. Hypothèses'!$E$84*'2. Hypothèses'!$K$84*('2. Hypothèses'!$F$84*p_ch-'2. Hypothèses'!$L$84*'2. Hypothèses'!$J$84*p_ch-(1-'2. Hypothèses'!$L$84)*'2. Hypothèses'!$G$84*p_ch-(1-'2. Hypothèses'!$L$84)*p_s*p_ts*p_ch-'2. Hypothèses'!$M$84*$H$8-p_sauto*p_cjuge))*(1-p_delta)*$H$9-(('2. Hypothèses'!$P$84+'2. Hypothèses'!$Q$84)*p_Cetp+$H$11*('2. Hypothèses'!$N$84+'2. Hypothèses'!$O$84))-p_lam*p_Cinc,0)</f>
        <v>0</v>
      </c>
      <c r="I15" s="132" t="n">
        <f aca="false">D15</f>
        <v>887293.8</v>
      </c>
      <c r="J15" s="132" t="n">
        <f aca="false">I15+E15</f>
        <v>1885210.41</v>
      </c>
      <c r="K15" s="132" t="n">
        <f aca="false">J15+F15</f>
        <v>2778725.877</v>
      </c>
      <c r="L15" s="132" t="n">
        <f aca="false">K15+G15</f>
        <v>2778725.877</v>
      </c>
      <c r="M15" s="132" t="n">
        <f aca="false">L15+H15</f>
        <v>2778725.877</v>
      </c>
      <c r="N15" s="133" t="n">
        <f aca="false">IF(AND($D$7=1,I15&gt;='2. Hypothèses'!$N$84+'2. Hypothèses'!$O$84),1,0)</f>
        <v>1</v>
      </c>
      <c r="O15" s="133" t="n">
        <f aca="false">IF(AND($E$7=1,J15&gt;='2. Hypothèses'!$N$84+'2. Hypothèses'!$O$84),1,0)</f>
        <v>1</v>
      </c>
      <c r="P15" s="133" t="n">
        <f aca="false">IF(AND($F$7=1,K15&gt;='2. Hypothèses'!$N$84+'2. Hypothèses'!$O$84),1,0)</f>
        <v>1</v>
      </c>
      <c r="Q15" s="133" t="n">
        <f aca="false">IF(AND($G$7=1,L15&gt;='2. Hypothèses'!$N$84+'2. Hypothèses'!$O$84),1,0)</f>
        <v>0</v>
      </c>
      <c r="R15" s="133" t="n">
        <f aca="false">IF(AND($H$7=1,M15&gt;='2. Hypothèses'!$N$84+'2. Hypothèses'!$O$84),1,0)</f>
        <v>0</v>
      </c>
    </row>
    <row r="16" customFormat="false" ht="13.5" hidden="false" customHeight="true" outlineLevel="0" collapsed="false">
      <c r="A16" s="127"/>
      <c r="B16" s="130" t="str">
        <f aca="false">'2. Hypothèses'!$C$85</f>
        <v>BD-01</v>
      </c>
      <c r="C16" s="131" t="str">
        <f aca="false">'2. Hypothèses'!$B$85</f>
        <v>Service client conversationnel niveau 1</v>
      </c>
      <c r="D16" s="132" t="n">
        <f aca="false">IF($D$7=1,('2. Hypothèses'!$E$85*'2. Hypothèses'!$K$85*('2. Hypothèses'!$F$85*p_ch-'2. Hypothèses'!$L$85*'2. Hypothèses'!$J$85*p_ch-(1-'2. Hypothèses'!$L$85)*'2. Hypothèses'!$G$85*p_ch-(1-'2. Hypothèses'!$L$85)*p_s*p_ts*p_ch-'2. Hypothèses'!$M$85*$D$8-p_sauto*p_cjuge))*(1-p_delta)*$D$9-(('2. Hypothèses'!$P$85+'2. Hypothèses'!$Q$85)*p_Cetp+$D$11*('2. Hypothèses'!$N$85+'2. Hypothèses'!$O$85))-p_lam*p_Cinc,0)</f>
        <v>1273869</v>
      </c>
      <c r="E16" s="132" t="n">
        <f aca="false">IF($E$7=1,('2. Hypothèses'!$E$85*'2. Hypothèses'!$K$85*('2. Hypothèses'!$F$85*p_ch-'2. Hypothèses'!$L$85*'2. Hypothèses'!$J$85*p_ch-(1-'2. Hypothèses'!$L$85)*'2. Hypothèses'!$G$85*p_ch-(1-'2. Hypothèses'!$L$85)*p_s*p_ts*p_ch-'2. Hypothèses'!$M$85*$E$8-p_sauto*p_cjuge))*(1-p_delta)*$E$9-(('2. Hypothèses'!$P$85+'2. Hypothèses'!$Q$85)*p_Cetp+$E$11*('2. Hypothèses'!$N$85+'2. Hypothèses'!$O$85))-p_lam*p_Cinc,0)</f>
        <v>1353406.8</v>
      </c>
      <c r="F16" s="132" t="n">
        <f aca="false">IF($F$7=1,('2. Hypothèses'!$E$85*'2. Hypothèses'!$K$85*('2. Hypothèses'!$F$85*p_ch-'2. Hypothèses'!$L$85*'2. Hypothèses'!$J$85*p_ch-(1-'2. Hypothèses'!$L$85)*'2. Hypothèses'!$G$85*p_ch-(1-'2. Hypothèses'!$L$85)*p_s*p_ts*p_ch-'2. Hypothèses'!$M$85*$F$8-p_sauto*p_cjuge))*(1-p_delta)*$F$9-(('2. Hypothèses'!$P$85+'2. Hypothèses'!$Q$85)*p_Cetp+$F$11*('2. Hypothèses'!$N$85+'2. Hypothèses'!$O$85))-p_lam*p_Cinc,0)</f>
        <v>1214478.49125</v>
      </c>
      <c r="G16" s="132" t="n">
        <f aca="false">IF($G$7=1,('2. Hypothèses'!$E$85*'2. Hypothèses'!$K$85*('2. Hypothèses'!$F$85*p_ch-'2. Hypothèses'!$L$85*'2. Hypothèses'!$J$85*p_ch-(1-'2. Hypothèses'!$L$85)*'2. Hypothèses'!$G$85*p_ch-(1-'2. Hypothèses'!$L$85)*p_s*p_ts*p_ch-'2. Hypothèses'!$M$85*$G$8-p_sauto*p_cjuge))*(1-p_delta)*$G$9-(('2. Hypothèses'!$P$85+'2. Hypothèses'!$Q$85)*p_Cetp+$G$11*('2. Hypothèses'!$N$85+'2. Hypothèses'!$O$85))-p_lam*p_Cinc,0)</f>
        <v>0</v>
      </c>
      <c r="H16" s="132" t="n">
        <f aca="false">IF($H$7=1,('2. Hypothèses'!$E$85*'2. Hypothèses'!$K$85*('2. Hypothèses'!$F$85*p_ch-'2. Hypothèses'!$L$85*'2. Hypothèses'!$J$85*p_ch-(1-'2. Hypothèses'!$L$85)*'2. Hypothèses'!$G$85*p_ch-(1-'2. Hypothèses'!$L$85)*p_s*p_ts*p_ch-'2. Hypothèses'!$M$85*$H$8-p_sauto*p_cjuge))*(1-p_delta)*$H$9-(('2. Hypothèses'!$P$85+'2. Hypothèses'!$Q$85)*p_Cetp+$H$11*('2. Hypothèses'!$N$85+'2. Hypothèses'!$O$85))-p_lam*p_Cinc,0)</f>
        <v>0</v>
      </c>
      <c r="I16" s="132" t="n">
        <f aca="false">D16</f>
        <v>1273869</v>
      </c>
      <c r="J16" s="132" t="n">
        <f aca="false">I16+E16</f>
        <v>2627275.8</v>
      </c>
      <c r="K16" s="132" t="n">
        <f aca="false">J16+F16</f>
        <v>3841754.29125</v>
      </c>
      <c r="L16" s="132" t="n">
        <f aca="false">K16+G16</f>
        <v>3841754.29125</v>
      </c>
      <c r="M16" s="132" t="n">
        <f aca="false">L16+H16</f>
        <v>3841754.29125</v>
      </c>
      <c r="N16" s="133" t="n">
        <f aca="false">IF(AND($D$7=1,I16&gt;='2. Hypothèses'!$N$85+'2. Hypothèses'!$O$85),1,0)</f>
        <v>1</v>
      </c>
      <c r="O16" s="133" t="n">
        <f aca="false">IF(AND($E$7=1,J16&gt;='2. Hypothèses'!$N$85+'2. Hypothèses'!$O$85),1,0)</f>
        <v>1</v>
      </c>
      <c r="P16" s="133" t="n">
        <f aca="false">IF(AND($F$7=1,K16&gt;='2. Hypothèses'!$N$85+'2. Hypothèses'!$O$85),1,0)</f>
        <v>1</v>
      </c>
      <c r="Q16" s="133" t="n">
        <f aca="false">IF(AND($G$7=1,L16&gt;='2. Hypothèses'!$N$85+'2. Hypothèses'!$O$85),1,0)</f>
        <v>0</v>
      </c>
      <c r="R16" s="133" t="n">
        <f aca="false">IF(AND($H$7=1,M16&gt;='2. Hypothèses'!$N$85+'2. Hypothèses'!$O$85),1,0)</f>
        <v>0</v>
      </c>
    </row>
    <row r="17" customFormat="false" ht="13.5" hidden="false" customHeight="true" outlineLevel="0" collapsed="false">
      <c r="A17" s="127"/>
      <c r="B17" s="130" t="str">
        <f aca="false">'2. Hypothèses'!$C$86</f>
        <v>BD-04</v>
      </c>
      <c r="C17" s="131" t="str">
        <f aca="false">'2. Hypothèses'!$B$86</f>
        <v>Entrée en relation et KYC particuliers</v>
      </c>
      <c r="D17" s="132" t="n">
        <f aca="false">IF($D$7=1,('2. Hypothèses'!$E$86*'2. Hypothèses'!$K$86*('2. Hypothèses'!$F$86*p_ch-'2. Hypothèses'!$L$86*'2. Hypothèses'!$J$86*p_ch-(1-'2. Hypothèses'!$L$86)*'2. Hypothèses'!$G$86*p_ch-(1-'2. Hypothèses'!$L$86)*p_s*p_ts*p_ch-'2. Hypothèses'!$M$86*$D$8-p_sauto*p_cjuge))*(1-p_delta)*$D$9-(('2. Hypothèses'!$P$86+'2. Hypothèses'!$Q$86)*p_Cetp+$D$11*('2. Hypothèses'!$N$86+'2. Hypothèses'!$O$86))-p_lam*p_Cinc,0)</f>
        <v>187616.09375</v>
      </c>
      <c r="E17" s="132" t="n">
        <f aca="false">IF($E$7=1,('2. Hypothèses'!$E$86*'2. Hypothèses'!$K$86*('2. Hypothèses'!$F$86*p_ch-'2. Hypothèses'!$L$86*'2. Hypothèses'!$J$86*p_ch-(1-'2. Hypothèses'!$L$86)*'2. Hypothèses'!$G$86*p_ch-(1-'2. Hypothèses'!$L$86)*p_s*p_ts*p_ch-'2. Hypothèses'!$M$86*$E$8-p_sauto*p_cjuge))*(1-p_delta)*$E$9-(('2. Hypothèses'!$P$86+'2. Hypothèses'!$Q$86)*p_Cetp+$E$11*('2. Hypothèses'!$N$86+'2. Hypothèses'!$O$86))-p_lam*p_Cinc,0)</f>
        <v>409711.8515625</v>
      </c>
      <c r="F17" s="132" t="n">
        <f aca="false">IF($F$7=1,('2. Hypothèses'!$E$86*'2. Hypothèses'!$K$86*('2. Hypothèses'!$F$86*p_ch-'2. Hypothèses'!$L$86*'2. Hypothèses'!$J$86*p_ch-(1-'2. Hypothèses'!$L$86)*'2. Hypothèses'!$G$86*p_ch-(1-'2. Hypothèses'!$L$86)*p_s*p_ts*p_ch-'2. Hypothèses'!$M$86*$F$8-p_sauto*p_cjuge))*(1-p_delta)*$F$9-(('2. Hypothèses'!$P$86+'2. Hypothèses'!$Q$86)*p_Cetp+$F$11*('2. Hypothèses'!$N$86+'2. Hypothèses'!$O$86))-p_lam*p_Cinc,0)</f>
        <v>349592.860546875</v>
      </c>
      <c r="G17" s="132" t="n">
        <f aca="false">IF($G$7=1,('2. Hypothèses'!$E$86*'2. Hypothèses'!$K$86*('2. Hypothèses'!$F$86*p_ch-'2. Hypothèses'!$L$86*'2. Hypothèses'!$J$86*p_ch-(1-'2. Hypothèses'!$L$86)*'2. Hypothèses'!$G$86*p_ch-(1-'2. Hypothèses'!$L$86)*p_s*p_ts*p_ch-'2. Hypothèses'!$M$86*$G$8-p_sauto*p_cjuge))*(1-p_delta)*$G$9-(('2. Hypothèses'!$P$86+'2. Hypothèses'!$Q$86)*p_Cetp+$G$11*('2. Hypothèses'!$N$86+'2. Hypothèses'!$O$86))-p_lam*p_Cinc,0)</f>
        <v>0</v>
      </c>
      <c r="H17" s="132" t="n">
        <f aca="false">IF($H$7=1,('2. Hypothèses'!$E$86*'2. Hypothèses'!$K$86*('2. Hypothèses'!$F$86*p_ch-'2. Hypothèses'!$L$86*'2. Hypothèses'!$J$86*p_ch-(1-'2. Hypothèses'!$L$86)*'2. Hypothèses'!$G$86*p_ch-(1-'2. Hypothèses'!$L$86)*p_s*p_ts*p_ch-'2. Hypothèses'!$M$86*$H$8-p_sauto*p_cjuge))*(1-p_delta)*$H$9-(('2. Hypothèses'!$P$86+'2. Hypothèses'!$Q$86)*p_Cetp+$H$11*('2. Hypothèses'!$N$86+'2. Hypothèses'!$O$86))-p_lam*p_Cinc,0)</f>
        <v>0</v>
      </c>
      <c r="I17" s="132" t="n">
        <f aca="false">D17</f>
        <v>187616.09375</v>
      </c>
      <c r="J17" s="132" t="n">
        <f aca="false">I17+E17</f>
        <v>597327.9453125</v>
      </c>
      <c r="K17" s="132" t="n">
        <f aca="false">J17+F17</f>
        <v>946920.805859375</v>
      </c>
      <c r="L17" s="132" t="n">
        <f aca="false">K17+G17</f>
        <v>946920.805859375</v>
      </c>
      <c r="M17" s="132" t="n">
        <f aca="false">L17+H17</f>
        <v>946920.805859375</v>
      </c>
      <c r="N17" s="133" t="n">
        <f aca="false">IF(AND($D$7=1,I17&gt;='2. Hypothèses'!$N$86+'2. Hypothèses'!$O$86),1,0)</f>
        <v>0</v>
      </c>
      <c r="O17" s="133" t="n">
        <f aca="false">IF(AND($E$7=1,J17&gt;='2. Hypothèses'!$N$86+'2. Hypothèses'!$O$86),1,0)</f>
        <v>1</v>
      </c>
      <c r="P17" s="133" t="n">
        <f aca="false">IF(AND($F$7=1,K17&gt;='2. Hypothèses'!$N$86+'2. Hypothèses'!$O$86),1,0)</f>
        <v>1</v>
      </c>
      <c r="Q17" s="133" t="n">
        <f aca="false">IF(AND($G$7=1,L17&gt;='2. Hypothèses'!$N$86+'2. Hypothèses'!$O$86),1,0)</f>
        <v>0</v>
      </c>
      <c r="R17" s="133" t="n">
        <f aca="false">IF(AND($H$7=1,M17&gt;='2. Hypothèses'!$N$86+'2. Hypothèses'!$O$86),1,0)</f>
        <v>0</v>
      </c>
    </row>
    <row r="18" customFormat="false" ht="13.5" hidden="false" customHeight="true" outlineLevel="0" collapsed="false">
      <c r="A18" s="127"/>
      <c r="B18" s="130" t="str">
        <f aca="false">'2. Hypothèses'!$C$87</f>
        <v>MC-04</v>
      </c>
      <c r="C18" s="131" t="str">
        <f aca="false">'2. Hypothèses'!$B$87</f>
        <v>Post-marché, réconciliation et suspens</v>
      </c>
      <c r="D18" s="132" t="n">
        <f aca="false">IF($D$7=1,('2. Hypothèses'!$E$87*'2. Hypothèses'!$K$87*('2. Hypothèses'!$F$87*p_ch-'2. Hypothèses'!$L$87*'2. Hypothèses'!$J$87*p_ch-(1-'2. Hypothèses'!$L$87)*'2. Hypothèses'!$G$87*p_ch-(1-'2. Hypothèses'!$L$87)*p_s*p_ts*p_ch-'2. Hypothèses'!$M$87*$D$8-p_sauto*p_cjuge))*(1-p_delta)*$D$9-(('2. Hypothèses'!$P$87+'2. Hypothèses'!$Q$87)*p_Cetp+$D$11*('2. Hypothèses'!$N$87+'2. Hypothèses'!$O$87))-p_lam*p_Cinc,0)</f>
        <v>391943.125</v>
      </c>
      <c r="E18" s="132" t="n">
        <f aca="false">IF($E$7=1,('2. Hypothèses'!$E$87*'2. Hypothèses'!$K$87*('2. Hypothèses'!$F$87*p_ch-'2. Hypothèses'!$L$87*'2. Hypothèses'!$J$87*p_ch-(1-'2. Hypothèses'!$L$87)*'2. Hypothèses'!$G$87*p_ch-(1-'2. Hypothèses'!$L$87)*p_s*p_ts*p_ch-'2. Hypothèses'!$M$87*$E$8-p_sauto*p_cjuge))*(1-p_delta)*$E$9-(('2. Hypothèses'!$P$87+'2. Hypothèses'!$Q$87)*p_Cetp+$E$11*('2. Hypothèses'!$N$87+'2. Hypothèses'!$O$87))-p_lam*p_Cinc,0)</f>
        <v>519127.21875</v>
      </c>
      <c r="F18" s="132" t="n">
        <f aca="false">IF($F$7=1,('2. Hypothèses'!$E$87*'2. Hypothèses'!$K$87*('2. Hypothèses'!$F$87*p_ch-'2. Hypothèses'!$L$87*'2. Hypothèses'!$J$87*p_ch-(1-'2. Hypothèses'!$L$87)*'2. Hypothèses'!$G$87*p_ch-(1-'2. Hypothèses'!$L$87)*p_s*p_ts*p_ch-'2. Hypothèses'!$M$87*$F$8-p_sauto*p_cjuge))*(1-p_delta)*$F$9-(('2. Hypothèses'!$P$87+'2. Hypothèses'!$Q$87)*p_Cetp+$F$11*('2. Hypothèses'!$N$87+'2. Hypothèses'!$O$87))-p_lam*p_Cinc,0)</f>
        <v>438596.6390625</v>
      </c>
      <c r="G18" s="132" t="n">
        <f aca="false">IF($G$7=1,('2. Hypothèses'!$E$87*'2. Hypothèses'!$K$87*('2. Hypothèses'!$F$87*p_ch-'2. Hypothèses'!$L$87*'2. Hypothèses'!$J$87*p_ch-(1-'2. Hypothèses'!$L$87)*'2. Hypothèses'!$G$87*p_ch-(1-'2. Hypothèses'!$L$87)*p_s*p_ts*p_ch-'2. Hypothèses'!$M$87*$G$8-p_sauto*p_cjuge))*(1-p_delta)*$G$9-(('2. Hypothèses'!$P$87+'2. Hypothèses'!$Q$87)*p_Cetp+$G$11*('2. Hypothèses'!$N$87+'2. Hypothèses'!$O$87))-p_lam*p_Cinc,0)</f>
        <v>0</v>
      </c>
      <c r="H18" s="132" t="n">
        <f aca="false">IF($H$7=1,('2. Hypothèses'!$E$87*'2. Hypothèses'!$K$87*('2. Hypothèses'!$F$87*p_ch-'2. Hypothèses'!$L$87*'2. Hypothèses'!$J$87*p_ch-(1-'2. Hypothèses'!$L$87)*'2. Hypothèses'!$G$87*p_ch-(1-'2. Hypothèses'!$L$87)*p_s*p_ts*p_ch-'2. Hypothèses'!$M$87*$H$8-p_sauto*p_cjuge))*(1-p_delta)*$H$9-(('2. Hypothèses'!$P$87+'2. Hypothèses'!$Q$87)*p_Cetp+$H$11*('2. Hypothèses'!$N$87+'2. Hypothèses'!$O$87))-p_lam*p_Cinc,0)</f>
        <v>0</v>
      </c>
      <c r="I18" s="132" t="n">
        <f aca="false">D18</f>
        <v>391943.125</v>
      </c>
      <c r="J18" s="132" t="n">
        <f aca="false">I18+E18</f>
        <v>911070.34375</v>
      </c>
      <c r="K18" s="132" t="n">
        <f aca="false">J18+F18</f>
        <v>1349666.9828125</v>
      </c>
      <c r="L18" s="132" t="n">
        <f aca="false">K18+G18</f>
        <v>1349666.9828125</v>
      </c>
      <c r="M18" s="132" t="n">
        <f aca="false">L18+H18</f>
        <v>1349666.9828125</v>
      </c>
      <c r="N18" s="133" t="n">
        <f aca="false">IF(AND($D$7=1,I18&gt;='2. Hypothèses'!$N$87+'2. Hypothèses'!$O$87),1,0)</f>
        <v>1</v>
      </c>
      <c r="O18" s="133" t="n">
        <f aca="false">IF(AND($E$7=1,J18&gt;='2. Hypothèses'!$N$87+'2. Hypothèses'!$O$87),1,0)</f>
        <v>1</v>
      </c>
      <c r="P18" s="133" t="n">
        <f aca="false">IF(AND($F$7=1,K18&gt;='2. Hypothèses'!$N$87+'2. Hypothèses'!$O$87),1,0)</f>
        <v>1</v>
      </c>
      <c r="Q18" s="133" t="n">
        <f aca="false">IF(AND($G$7=1,L18&gt;='2. Hypothèses'!$N$87+'2. Hypothèses'!$O$87),1,0)</f>
        <v>0</v>
      </c>
      <c r="R18" s="133" t="n">
        <f aca="false">IF(AND($H$7=1,M18&gt;='2. Hypothèses'!$N$87+'2. Hypothèses'!$O$87),1,0)</f>
        <v>0</v>
      </c>
    </row>
    <row r="19" customFormat="false" ht="13.5" hidden="false" customHeight="true" outlineLevel="0" collapsed="false">
      <c r="A19" s="127"/>
      <c r="B19" s="130" t="str">
        <f aca="false">'2. Hypothèses'!$C$88</f>
        <v>AS-04</v>
      </c>
      <c r="C19" s="131" t="str">
        <f aca="false">'2. Hypothèses'!$B$88</f>
        <v>Prise de déclaration de sinistre, canal vocal</v>
      </c>
      <c r="D19" s="132" t="n">
        <f aca="false">IF($D$7=1,('2. Hypothèses'!$E$88*'2. Hypothèses'!$K$88*('2. Hypothèses'!$F$88*p_ch-'2. Hypothèses'!$L$88*'2. Hypothèses'!$J$88*p_ch-(1-'2. Hypothèses'!$L$88)*'2. Hypothèses'!$G$88*p_ch-(1-'2. Hypothèses'!$L$88)*p_s*p_ts*p_ch-'2. Hypothèses'!$M$88*$D$8-p_sauto*p_cjuge))*(1-p_delta)*$D$9-(('2. Hypothèses'!$P$88+'2. Hypothèses'!$Q$88)*p_Cetp+$D$11*('2. Hypothèses'!$N$88+'2. Hypothèses'!$O$88))-p_lam*p_Cinc,0)</f>
        <v>317703.2</v>
      </c>
      <c r="E19" s="132" t="n">
        <f aca="false">IF($E$7=1,('2. Hypothèses'!$E$88*'2. Hypothèses'!$K$88*('2. Hypothèses'!$F$88*p_ch-'2. Hypothèses'!$L$88*'2. Hypothèses'!$J$88*p_ch-(1-'2. Hypothèses'!$L$88)*'2. Hypothèses'!$G$88*p_ch-(1-'2. Hypothèses'!$L$88)*p_s*p_ts*p_ch-'2. Hypothèses'!$M$88*$E$8-p_sauto*p_cjuge))*(1-p_delta)*$E$9-(('2. Hypothèses'!$P$88+'2. Hypothèses'!$Q$88)*p_Cetp+$E$11*('2. Hypothèses'!$N$88+'2. Hypothèses'!$O$88))-p_lam*p_Cinc,0)</f>
        <v>490103.04</v>
      </c>
      <c r="F19" s="132" t="n">
        <f aca="false">IF($F$7=1,('2. Hypothèses'!$E$88*'2. Hypothèses'!$K$88*('2. Hypothèses'!$F$88*p_ch-'2. Hypothèses'!$L$88*'2. Hypothèses'!$J$88*p_ch-(1-'2. Hypothèses'!$L$88)*'2. Hypothèses'!$G$88*p_ch-(1-'2. Hypothèses'!$L$88)*p_s*p_ts*p_ch-'2. Hypothèses'!$M$88*$F$8-p_sauto*p_cjuge))*(1-p_delta)*$F$9-(('2. Hypothèses'!$P$88+'2. Hypothèses'!$Q$88)*p_Cetp+$F$11*('2. Hypothèses'!$N$88+'2. Hypothèses'!$O$88))-p_lam*p_Cinc,0)</f>
        <v>404391.513</v>
      </c>
      <c r="G19" s="132" t="n">
        <f aca="false">IF($G$7=1,('2. Hypothèses'!$E$88*'2. Hypothèses'!$K$88*('2. Hypothèses'!$F$88*p_ch-'2. Hypothèses'!$L$88*'2. Hypothèses'!$J$88*p_ch-(1-'2. Hypothèses'!$L$88)*'2. Hypothèses'!$G$88*p_ch-(1-'2. Hypothèses'!$L$88)*p_s*p_ts*p_ch-'2. Hypothèses'!$M$88*$G$8-p_sauto*p_cjuge))*(1-p_delta)*$G$9-(('2. Hypothèses'!$P$88+'2. Hypothèses'!$Q$88)*p_Cetp+$G$11*('2. Hypothèses'!$N$88+'2. Hypothèses'!$O$88))-p_lam*p_Cinc,0)</f>
        <v>0</v>
      </c>
      <c r="H19" s="132" t="n">
        <f aca="false">IF($H$7=1,('2. Hypothèses'!$E$88*'2. Hypothèses'!$K$88*('2. Hypothèses'!$F$88*p_ch-'2. Hypothèses'!$L$88*'2. Hypothèses'!$J$88*p_ch-(1-'2. Hypothèses'!$L$88)*'2. Hypothèses'!$G$88*p_ch-(1-'2. Hypothèses'!$L$88)*p_s*p_ts*p_ch-'2. Hypothèses'!$M$88*$H$8-p_sauto*p_cjuge))*(1-p_delta)*$H$9-(('2. Hypothèses'!$P$88+'2. Hypothèses'!$Q$88)*p_Cetp+$H$11*('2. Hypothèses'!$N$88+'2. Hypothèses'!$O$88))-p_lam*p_Cinc,0)</f>
        <v>0</v>
      </c>
      <c r="I19" s="132" t="n">
        <f aca="false">D19</f>
        <v>317703.2</v>
      </c>
      <c r="J19" s="132" t="n">
        <f aca="false">I19+E19</f>
        <v>807806.24</v>
      </c>
      <c r="K19" s="132" t="n">
        <f aca="false">J19+F19</f>
        <v>1212197.753</v>
      </c>
      <c r="L19" s="132" t="n">
        <f aca="false">K19+G19</f>
        <v>1212197.753</v>
      </c>
      <c r="M19" s="132" t="n">
        <f aca="false">L19+H19</f>
        <v>1212197.753</v>
      </c>
      <c r="N19" s="133" t="n">
        <f aca="false">IF(AND($D$7=1,I19&gt;='2. Hypothèses'!$N$88+'2. Hypothèses'!$O$88),1,0)</f>
        <v>1</v>
      </c>
      <c r="O19" s="133" t="n">
        <f aca="false">IF(AND($E$7=1,J19&gt;='2. Hypothèses'!$N$88+'2. Hypothèses'!$O$88),1,0)</f>
        <v>1</v>
      </c>
      <c r="P19" s="133" t="n">
        <f aca="false">IF(AND($F$7=1,K19&gt;='2. Hypothèses'!$N$88+'2. Hypothèses'!$O$88),1,0)</f>
        <v>1</v>
      </c>
      <c r="Q19" s="133" t="n">
        <f aca="false">IF(AND($G$7=1,L19&gt;='2. Hypothèses'!$N$88+'2. Hypothèses'!$O$88),1,0)</f>
        <v>0</v>
      </c>
      <c r="R19" s="133" t="n">
        <f aca="false">IF(AND($H$7=1,M19&gt;='2. Hypothèses'!$N$88+'2. Hypothèses'!$O$88),1,0)</f>
        <v>0</v>
      </c>
    </row>
    <row r="20" customFormat="false" ht="13.5" hidden="false" customHeight="true" outlineLevel="0" collapsed="false">
      <c r="A20" s="127"/>
      <c r="B20" s="130" t="str">
        <f aca="false">'2. Hypothèses'!$C$89</f>
        <v>PA-06</v>
      </c>
      <c r="C20" s="131" t="str">
        <f aca="false">'2. Hypothèses'!$B$89</f>
        <v>Investigations et exceptions de paiement</v>
      </c>
      <c r="D20" s="132" t="n">
        <f aca="false">IF($D$7=1,('2. Hypothèses'!$E$89*'2. Hypothèses'!$K$89*('2. Hypothèses'!$F$89*p_ch-'2. Hypothèses'!$L$89*'2. Hypothèses'!$J$89*p_ch-(1-'2. Hypothèses'!$L$89)*'2. Hypothèses'!$G$89*p_ch-(1-'2. Hypothèses'!$L$89)*p_s*p_ts*p_ch-'2. Hypothèses'!$M$89*$D$8-p_sauto*p_cjuge))*(1-p_delta)*$D$9-(('2. Hypothèses'!$P$89+'2. Hypothèses'!$Q$89)*p_Cetp+$D$11*('2. Hypothèses'!$N$89+'2. Hypothèses'!$O$89))-p_lam*p_Cinc,0)</f>
        <v>121799.1</v>
      </c>
      <c r="E20" s="132" t="n">
        <f aca="false">IF($E$7=1,('2. Hypothèses'!$E$89*'2. Hypothèses'!$K$89*('2. Hypothèses'!$F$89*p_ch-'2. Hypothèses'!$L$89*'2. Hypothèses'!$J$89*p_ch-(1-'2. Hypothèses'!$L$89)*'2. Hypothèses'!$G$89*p_ch-(1-'2. Hypothèses'!$L$89)*p_s*p_ts*p_ch-'2. Hypothèses'!$M$89*$E$8-p_sauto*p_cjuge))*(1-p_delta)*$E$9-(('2. Hypothèses'!$P$89+'2. Hypothèses'!$Q$89)*p_Cetp+$E$11*('2. Hypothèses'!$N$89+'2. Hypothèses'!$O$89))-p_lam*p_Cinc,0)</f>
        <v>279838.2075</v>
      </c>
      <c r="F20" s="132" t="n">
        <f aca="false">IF($F$7=1,('2. Hypothèses'!$E$89*'2. Hypothèses'!$K$89*('2. Hypothèses'!$F$89*p_ch-'2. Hypothèses'!$L$89*'2. Hypothèses'!$J$89*p_ch-(1-'2. Hypothèses'!$L$89)*'2. Hypothèses'!$G$89*p_ch-(1-'2. Hypothèses'!$L$89)*p_s*p_ts*p_ch-'2. Hypothèses'!$M$89*$F$8-p_sauto*p_cjuge))*(1-p_delta)*$F$9-(('2. Hypothèses'!$P$89+'2. Hypothèses'!$Q$89)*p_Cetp+$F$11*('2. Hypothèses'!$N$89+'2. Hypothèses'!$O$89))-p_lam*p_Cinc,0)</f>
        <v>223730.2111875</v>
      </c>
      <c r="G20" s="132" t="n">
        <f aca="false">IF($G$7=1,('2. Hypothèses'!$E$89*'2. Hypothèses'!$K$89*('2. Hypothèses'!$F$89*p_ch-'2. Hypothèses'!$L$89*'2. Hypothèses'!$J$89*p_ch-(1-'2. Hypothèses'!$L$89)*'2. Hypothèses'!$G$89*p_ch-(1-'2. Hypothèses'!$L$89)*p_s*p_ts*p_ch-'2. Hypothèses'!$M$89*$G$8-p_sauto*p_cjuge))*(1-p_delta)*$G$9-(('2. Hypothèses'!$P$89+'2. Hypothèses'!$Q$89)*p_Cetp+$G$11*('2. Hypothèses'!$N$89+'2. Hypothèses'!$O$89))-p_lam*p_Cinc,0)</f>
        <v>0</v>
      </c>
      <c r="H20" s="132" t="n">
        <f aca="false">IF($H$7=1,('2. Hypothèses'!$E$89*'2. Hypothèses'!$K$89*('2. Hypothèses'!$F$89*p_ch-'2. Hypothèses'!$L$89*'2. Hypothèses'!$J$89*p_ch-(1-'2. Hypothèses'!$L$89)*'2. Hypothèses'!$G$89*p_ch-(1-'2. Hypothèses'!$L$89)*p_s*p_ts*p_ch-'2. Hypothèses'!$M$89*$H$8-p_sauto*p_cjuge))*(1-p_delta)*$H$9-(('2. Hypothèses'!$P$89+'2. Hypothèses'!$Q$89)*p_Cetp+$H$11*('2. Hypothèses'!$N$89+'2. Hypothèses'!$O$89))-p_lam*p_Cinc,0)</f>
        <v>0</v>
      </c>
      <c r="I20" s="132" t="n">
        <f aca="false">D20</f>
        <v>121799.1</v>
      </c>
      <c r="J20" s="132" t="n">
        <f aca="false">I20+E20</f>
        <v>401637.3075</v>
      </c>
      <c r="K20" s="132" t="n">
        <f aca="false">J20+F20</f>
        <v>625367.5186875</v>
      </c>
      <c r="L20" s="132" t="n">
        <f aca="false">K20+G20</f>
        <v>625367.5186875</v>
      </c>
      <c r="M20" s="132" t="n">
        <f aca="false">L20+H20</f>
        <v>625367.5186875</v>
      </c>
      <c r="N20" s="133" t="n">
        <f aca="false">IF(AND($D$7=1,I20&gt;='2. Hypothèses'!$N$89+'2. Hypothèses'!$O$89),1,0)</f>
        <v>0</v>
      </c>
      <c r="O20" s="133" t="n">
        <f aca="false">IF(AND($E$7=1,J20&gt;='2. Hypothèses'!$N$89+'2. Hypothèses'!$O$89),1,0)</f>
        <v>1</v>
      </c>
      <c r="P20" s="133" t="n">
        <f aca="false">IF(AND($F$7=1,K20&gt;='2. Hypothèses'!$N$89+'2. Hypothèses'!$O$89),1,0)</f>
        <v>1</v>
      </c>
      <c r="Q20" s="133" t="n">
        <f aca="false">IF(AND($G$7=1,L20&gt;='2. Hypothèses'!$N$89+'2. Hypothèses'!$O$89),1,0)</f>
        <v>0</v>
      </c>
      <c r="R20" s="133" t="n">
        <f aca="false">IF(AND($H$7=1,M20&gt;='2. Hypothèses'!$N$89+'2. Hypothèses'!$O$89),1,0)</f>
        <v>0</v>
      </c>
    </row>
    <row r="21" customFormat="false" ht="13.5" hidden="false" customHeight="true" outlineLevel="0" collapsed="false">
      <c r="A21" s="127"/>
      <c r="B21" s="130" t="str">
        <f aca="false">'2. Hypothèses'!$C$90</f>
        <v>FT-02</v>
      </c>
      <c r="C21" s="131" t="str">
        <f aca="false">'2. Hypothèses'!$B$90</f>
        <v>Revue de presse négative et criblage nominatif</v>
      </c>
      <c r="D21" s="132" t="n">
        <f aca="false">IF($D$7=1,('2. Hypothèses'!$E$90*'2. Hypothèses'!$K$90*('2. Hypothèses'!$F$90*p_ch-'2. Hypothèses'!$L$90*'2. Hypothèses'!$J$90*p_ch-(1-'2. Hypothèses'!$L$90)*'2. Hypothèses'!$G$90*p_ch-(1-'2. Hypothèses'!$L$90)*p_s*p_ts*p_ch-'2. Hypothèses'!$M$90*$D$8-p_sauto*p_cjuge))*(1-p_delta)*$D$9-(('2. Hypothèses'!$P$90+'2. Hypothèses'!$Q$90)*p_Cetp+$D$11*('2. Hypothèses'!$N$90+'2. Hypothèses'!$O$90))-p_lam*p_Cinc,0)</f>
        <v>207985.4375</v>
      </c>
      <c r="E21" s="132" t="n">
        <f aca="false">IF($E$7=1,('2. Hypothèses'!$E$90*'2. Hypothèses'!$K$90*('2. Hypothèses'!$F$90*p_ch-'2. Hypothèses'!$L$90*'2. Hypothèses'!$J$90*p_ch-(1-'2. Hypothèses'!$L$90)*'2. Hypothèses'!$G$90*p_ch-(1-'2. Hypothèses'!$L$90)*p_s*p_ts*p_ch-'2. Hypothèses'!$M$90*$E$8-p_sauto*p_cjuge))*(1-p_delta)*$E$9-(('2. Hypothèses'!$P$90+'2. Hypothèses'!$Q$90)*p_Cetp+$E$11*('2. Hypothèses'!$N$90+'2. Hypothèses'!$O$90))-p_lam*p_Cinc,0)</f>
        <v>315718.978125</v>
      </c>
      <c r="F21" s="132" t="n">
        <f aca="false">IF($F$7=1,('2. Hypothèses'!$E$90*'2. Hypothèses'!$K$90*('2. Hypothèses'!$F$90*p_ch-'2. Hypothèses'!$L$90*'2. Hypothèses'!$J$90*p_ch-(1-'2. Hypothèses'!$L$90)*'2. Hypothèses'!$G$90*p_ch-(1-'2. Hypothèses'!$L$90)*p_s*p_ts*p_ch-'2. Hypothèses'!$M$90*$F$8-p_sauto*p_cjuge))*(1-p_delta)*$F$9-(('2. Hypothèses'!$P$90+'2. Hypothèses'!$Q$90)*p_Cetp+$F$11*('2. Hypothèses'!$N$90+'2. Hypothèses'!$O$90))-p_lam*p_Cinc,0)</f>
        <v>258684.78703125</v>
      </c>
      <c r="G21" s="132" t="n">
        <f aca="false">IF($G$7=1,('2. Hypothèses'!$E$90*'2. Hypothèses'!$K$90*('2. Hypothèses'!$F$90*p_ch-'2. Hypothèses'!$L$90*'2. Hypothèses'!$J$90*p_ch-(1-'2. Hypothèses'!$L$90)*'2. Hypothèses'!$G$90*p_ch-(1-'2. Hypothèses'!$L$90)*p_s*p_ts*p_ch-'2. Hypothèses'!$M$90*$G$8-p_sauto*p_cjuge))*(1-p_delta)*$G$9-(('2. Hypothèses'!$P$90+'2. Hypothèses'!$Q$90)*p_Cetp+$G$11*('2. Hypothèses'!$N$90+'2. Hypothèses'!$O$90))-p_lam*p_Cinc,0)</f>
        <v>0</v>
      </c>
      <c r="H21" s="132" t="n">
        <f aca="false">IF($H$7=1,('2. Hypothèses'!$E$90*'2. Hypothèses'!$K$90*('2. Hypothèses'!$F$90*p_ch-'2. Hypothèses'!$L$90*'2. Hypothèses'!$J$90*p_ch-(1-'2. Hypothèses'!$L$90)*'2. Hypothèses'!$G$90*p_ch-(1-'2. Hypothèses'!$L$90)*p_s*p_ts*p_ch-'2. Hypothèses'!$M$90*$H$8-p_sauto*p_cjuge))*(1-p_delta)*$H$9-(('2. Hypothèses'!$P$90+'2. Hypothèses'!$Q$90)*p_Cetp+$H$11*('2. Hypothèses'!$N$90+'2. Hypothèses'!$O$90))-p_lam*p_Cinc,0)</f>
        <v>0</v>
      </c>
      <c r="I21" s="132" t="n">
        <f aca="false">D21</f>
        <v>207985.4375</v>
      </c>
      <c r="J21" s="132" t="n">
        <f aca="false">I21+E21</f>
        <v>523704.415625</v>
      </c>
      <c r="K21" s="132" t="n">
        <f aca="false">J21+F21</f>
        <v>782389.20265625</v>
      </c>
      <c r="L21" s="132" t="n">
        <f aca="false">K21+G21</f>
        <v>782389.20265625</v>
      </c>
      <c r="M21" s="132" t="n">
        <f aca="false">L21+H21</f>
        <v>782389.20265625</v>
      </c>
      <c r="N21" s="133" t="n">
        <f aca="false">IF(AND($D$7=1,I21&gt;='2. Hypothèses'!$N$90+'2. Hypothèses'!$O$90),1,0)</f>
        <v>1</v>
      </c>
      <c r="O21" s="133" t="n">
        <f aca="false">IF(AND($E$7=1,J21&gt;='2. Hypothèses'!$N$90+'2. Hypothèses'!$O$90),1,0)</f>
        <v>1</v>
      </c>
      <c r="P21" s="133" t="n">
        <f aca="false">IF(AND($F$7=1,K21&gt;='2. Hypothèses'!$N$90+'2. Hypothèses'!$O$90),1,0)</f>
        <v>1</v>
      </c>
      <c r="Q21" s="133" t="n">
        <f aca="false">IF(AND($G$7=1,L21&gt;='2. Hypothèses'!$N$90+'2. Hypothèses'!$O$90),1,0)</f>
        <v>0</v>
      </c>
      <c r="R21" s="133" t="n">
        <f aca="false">IF(AND($H$7=1,M21&gt;='2. Hypothèses'!$N$90+'2. Hypothèses'!$O$90),1,0)</f>
        <v>0</v>
      </c>
    </row>
    <row r="22" customFormat="false" ht="13.5" hidden="false" customHeight="true" outlineLevel="0" collapsed="false">
      <c r="A22" s="127"/>
      <c r="B22" s="130" t="str">
        <f aca="false">'2. Hypothèses'!$C$91</f>
        <v>BFI-06</v>
      </c>
      <c r="C22" s="131" t="str">
        <f aca="false">'2. Hypothèses'!$B$91</f>
        <v>KYC entreprises et revue périodique</v>
      </c>
      <c r="D22" s="132" t="n">
        <f aca="false">IF($D$7=1,('2. Hypothèses'!$E$91*'2. Hypothèses'!$K$91*('2. Hypothèses'!$F$91*p_ch-'2. Hypothèses'!$L$91*'2. Hypothèses'!$J$91*p_ch-(1-'2. Hypothèses'!$L$91)*'2. Hypothèses'!$G$91*p_ch-(1-'2. Hypothèses'!$L$91)*p_s*p_ts*p_ch-'2. Hypothèses'!$M$91*$D$8-p_sauto*p_cjuge))*(1-p_delta)*$D$9-(('2. Hypothèses'!$P$91+'2. Hypothèses'!$Q$91)*p_Cetp+$D$11*('2. Hypothèses'!$N$91+'2. Hypothèses'!$O$91))-p_lam*p_Cinc,0)</f>
        <v>-61458.625</v>
      </c>
      <c r="E22" s="132" t="n">
        <f aca="false">IF($E$7=1,('2. Hypothèses'!$E$91*'2. Hypothèses'!$K$91*('2. Hypothèses'!$F$91*p_ch-'2. Hypothèses'!$L$91*'2. Hypothèses'!$J$91*p_ch-(1-'2. Hypothèses'!$L$91)*'2. Hypothèses'!$G$91*p_ch-(1-'2. Hypothèses'!$L$91)*p_s*p_ts*p_ch-'2. Hypothèses'!$M$91*$E$8-p_sauto*p_cjuge))*(1-p_delta)*$E$9-(('2. Hypothèses'!$P$91+'2. Hypothèses'!$Q$91)*p_Cetp+$E$11*('2. Hypothèses'!$N$91+'2. Hypothèses'!$O$91))-p_lam*p_Cinc,0)</f>
        <v>176564.30625</v>
      </c>
      <c r="F22" s="132" t="n">
        <f aca="false">IF($F$7=1,('2. Hypothèses'!$E$91*'2. Hypothèses'!$K$91*('2. Hypothèses'!$F$91*p_ch-'2. Hypothèses'!$L$91*'2. Hypothèses'!$J$91*p_ch-(1-'2. Hypothèses'!$L$91)*'2. Hypothèses'!$G$91*p_ch-(1-'2. Hypothèses'!$L$91)*p_s*p_ts*p_ch-'2. Hypothèses'!$M$91*$F$8-p_sauto*p_cjuge))*(1-p_delta)*$F$9-(('2. Hypothèses'!$P$91+'2. Hypothèses'!$Q$91)*p_Cetp+$F$11*('2. Hypothèses'!$N$91+'2. Hypothèses'!$O$91))-p_lam*p_Cinc,0)</f>
        <v>133052.3409375</v>
      </c>
      <c r="G22" s="132" t="n">
        <f aca="false">IF($G$7=1,('2. Hypothèses'!$E$91*'2. Hypothèses'!$K$91*('2. Hypothèses'!$F$91*p_ch-'2. Hypothèses'!$L$91*'2. Hypothèses'!$J$91*p_ch-(1-'2. Hypothèses'!$L$91)*'2. Hypothèses'!$G$91*p_ch-(1-'2. Hypothèses'!$L$91)*p_s*p_ts*p_ch-'2. Hypothèses'!$M$91*$G$8-p_sauto*p_cjuge))*(1-p_delta)*$G$9-(('2. Hypothèses'!$P$91+'2. Hypothèses'!$Q$91)*p_Cetp+$G$11*('2. Hypothèses'!$N$91+'2. Hypothèses'!$O$91))-p_lam*p_Cinc,0)</f>
        <v>0</v>
      </c>
      <c r="H22" s="132" t="n">
        <f aca="false">IF($H$7=1,('2. Hypothèses'!$E$91*'2. Hypothèses'!$K$91*('2. Hypothèses'!$F$91*p_ch-'2. Hypothèses'!$L$91*'2. Hypothèses'!$J$91*p_ch-(1-'2. Hypothèses'!$L$91)*'2. Hypothèses'!$G$91*p_ch-(1-'2. Hypothèses'!$L$91)*p_s*p_ts*p_ch-'2. Hypothèses'!$M$91*$H$8-p_sauto*p_cjuge))*(1-p_delta)*$H$9-(('2. Hypothèses'!$P$91+'2. Hypothèses'!$Q$91)*p_Cetp+$H$11*('2. Hypothèses'!$N$91+'2. Hypothèses'!$O$91))-p_lam*p_Cinc,0)</f>
        <v>0</v>
      </c>
      <c r="I22" s="132" t="n">
        <f aca="false">D22</f>
        <v>-61458.625</v>
      </c>
      <c r="J22" s="132" t="n">
        <f aca="false">I22+E22</f>
        <v>115105.68125</v>
      </c>
      <c r="K22" s="132" t="n">
        <f aca="false">J22+F22</f>
        <v>248158.0221875</v>
      </c>
      <c r="L22" s="132" t="n">
        <f aca="false">K22+G22</f>
        <v>248158.0221875</v>
      </c>
      <c r="M22" s="132" t="n">
        <f aca="false">L22+H22</f>
        <v>248158.0221875</v>
      </c>
      <c r="N22" s="133" t="n">
        <f aca="false">IF(AND($D$7=1,I22&gt;='2. Hypothèses'!$N$91+'2. Hypothèses'!$O$91),1,0)</f>
        <v>0</v>
      </c>
      <c r="O22" s="133" t="n">
        <f aca="false">IF(AND($E$7=1,J22&gt;='2. Hypothèses'!$N$91+'2. Hypothèses'!$O$91),1,0)</f>
        <v>0</v>
      </c>
      <c r="P22" s="133" t="n">
        <f aca="false">IF(AND($F$7=1,K22&gt;='2. Hypothèses'!$N$91+'2. Hypothèses'!$O$91),1,0)</f>
        <v>0</v>
      </c>
      <c r="Q22" s="133" t="n">
        <f aca="false">IF(AND($G$7=1,L22&gt;='2. Hypothèses'!$N$91+'2. Hypothèses'!$O$91),1,0)</f>
        <v>0</v>
      </c>
      <c r="R22" s="133" t="n">
        <f aca="false">IF(AND($H$7=1,M22&gt;='2. Hypothèses'!$N$91+'2. Hypothèses'!$O$91),1,0)</f>
        <v>0</v>
      </c>
    </row>
    <row r="23" customFormat="false" ht="13.5" hidden="false" customHeight="true" outlineLevel="0" collapsed="false">
      <c r="A23" s="127"/>
      <c r="B23" s="130" t="str">
        <f aca="false">'2. Hypothèses'!$C$92</f>
        <v>FT-06</v>
      </c>
      <c r="C23" s="131" t="str">
        <f aca="false">'2. Hypothèses'!$B$92</f>
        <v>Audit interne, planification et collecte de preuve</v>
      </c>
      <c r="D23" s="132" t="n">
        <f aca="false">IF($D$7=1,('2. Hypothèses'!$E$92*'2. Hypothèses'!$K$92*('2. Hypothèses'!$F$92*p_ch-'2. Hypothèses'!$L$92*'2. Hypothèses'!$J$92*p_ch-(1-'2. Hypothèses'!$L$92)*'2. Hypothèses'!$G$92*p_ch-(1-'2. Hypothèses'!$L$92)*p_s*p_ts*p_ch-'2. Hypothèses'!$M$92*$D$8-p_sauto*p_cjuge))*(1-p_delta)*$D$9-(('2. Hypothèses'!$P$92+'2. Hypothèses'!$Q$92)*p_Cetp+$D$11*('2. Hypothèses'!$N$92+'2. Hypothèses'!$O$92))-p_lam*p_Cinc,0)</f>
        <v>-305862.675</v>
      </c>
      <c r="E23" s="132" t="n">
        <f aca="false">IF($E$7=1,('2. Hypothèses'!$E$92*'2. Hypothèses'!$K$92*('2. Hypothèses'!$F$92*p_ch-'2. Hypothèses'!$L$92*'2. Hypothèses'!$J$92*p_ch-(1-'2. Hypothèses'!$L$92)*'2. Hypothèses'!$G$92*p_ch-(1-'2. Hypothèses'!$L$92)*p_s*p_ts*p_ch-'2. Hypothèses'!$M$92*$E$8-p_sauto*p_cjuge))*(1-p_delta)*$E$9-(('2. Hypothèses'!$P$92+'2. Hypothèses'!$Q$92)*p_Cetp+$E$11*('2. Hypothèses'!$N$92+'2. Hypothèses'!$O$92))-p_lam*p_Cinc,0)</f>
        <v>-114417.04125</v>
      </c>
      <c r="F23" s="132" t="n">
        <f aca="false">IF($F$7=1,('2. Hypothèses'!$E$92*'2. Hypothèses'!$K$92*('2. Hypothèses'!$F$92*p_ch-'2. Hypothèses'!$L$92*'2. Hypothèses'!$J$92*p_ch-(1-'2. Hypothèses'!$L$92)*'2. Hypothèses'!$G$92*p_ch-(1-'2. Hypothèses'!$L$92)*p_s*p_ts*p_ch-'2. Hypothèses'!$M$92*$F$8-p_sauto*p_cjuge))*(1-p_delta)*$F$9-(('2. Hypothèses'!$P$92+'2. Hypothèses'!$Q$92)*p_Cetp+$F$11*('2. Hypothèses'!$N$92+'2. Hypothèses'!$O$92))-p_lam*p_Cinc,0)</f>
        <v>-133678.8766875</v>
      </c>
      <c r="G23" s="132" t="n">
        <f aca="false">IF($G$7=1,('2. Hypothèses'!$E$92*'2. Hypothèses'!$K$92*('2. Hypothèses'!$F$92*p_ch-'2. Hypothèses'!$L$92*'2. Hypothèses'!$J$92*p_ch-(1-'2. Hypothèses'!$L$92)*'2. Hypothèses'!$G$92*p_ch-(1-'2. Hypothèses'!$L$92)*p_s*p_ts*p_ch-'2. Hypothèses'!$M$92*$G$8-p_sauto*p_cjuge))*(1-p_delta)*$G$9-(('2. Hypothèses'!$P$92+'2. Hypothèses'!$Q$92)*p_Cetp+$G$11*('2. Hypothèses'!$N$92+'2. Hypothèses'!$O$92))-p_lam*p_Cinc,0)</f>
        <v>0</v>
      </c>
      <c r="H23" s="132" t="n">
        <f aca="false">IF($H$7=1,('2. Hypothèses'!$E$92*'2. Hypothèses'!$K$92*('2. Hypothèses'!$F$92*p_ch-'2. Hypothèses'!$L$92*'2. Hypothèses'!$J$92*p_ch-(1-'2. Hypothèses'!$L$92)*'2. Hypothèses'!$G$92*p_ch-(1-'2. Hypothèses'!$L$92)*p_s*p_ts*p_ch-'2. Hypothèses'!$M$92*$H$8-p_sauto*p_cjuge))*(1-p_delta)*$H$9-(('2. Hypothèses'!$P$92+'2. Hypothèses'!$Q$92)*p_Cetp+$H$11*('2. Hypothèses'!$N$92+'2. Hypothèses'!$O$92))-p_lam*p_Cinc,0)</f>
        <v>0</v>
      </c>
      <c r="I23" s="132" t="n">
        <f aca="false">D23</f>
        <v>-305862.675</v>
      </c>
      <c r="J23" s="132" t="n">
        <f aca="false">I23+E23</f>
        <v>-420279.71625</v>
      </c>
      <c r="K23" s="132" t="n">
        <f aca="false">J23+F23</f>
        <v>-553958.5929375</v>
      </c>
      <c r="L23" s="132" t="n">
        <f aca="false">K23+G23</f>
        <v>-553958.5929375</v>
      </c>
      <c r="M23" s="132" t="n">
        <f aca="false">L23+H23</f>
        <v>-553958.5929375</v>
      </c>
      <c r="N23" s="133" t="n">
        <f aca="false">IF(AND($D$7=1,I23&gt;='2. Hypothèses'!$N$92+'2. Hypothèses'!$O$92),1,0)</f>
        <v>0</v>
      </c>
      <c r="O23" s="133" t="n">
        <f aca="false">IF(AND($E$7=1,J23&gt;='2. Hypothèses'!$N$92+'2. Hypothèses'!$O$92),1,0)</f>
        <v>0</v>
      </c>
      <c r="P23" s="133" t="n">
        <f aca="false">IF(AND($F$7=1,K23&gt;='2. Hypothèses'!$N$92+'2. Hypothèses'!$O$92),1,0)</f>
        <v>0</v>
      </c>
      <c r="Q23" s="133" t="n">
        <f aca="false">IF(AND($G$7=1,L23&gt;='2. Hypothèses'!$N$92+'2. Hypothèses'!$O$92),1,0)</f>
        <v>0</v>
      </c>
      <c r="R23" s="133" t="n">
        <f aca="false">IF(AND($H$7=1,M23&gt;='2. Hypothèses'!$N$92+'2. Hypothèses'!$O$92),1,0)</f>
        <v>0</v>
      </c>
    </row>
    <row r="24" customFormat="false" ht="13.5" hidden="false" customHeight="true" outlineLevel="0" collapsed="false">
      <c r="A24" s="127"/>
      <c r="B24" s="130" t="str">
        <f aca="false">'2. Hypothèses'!$C$93</f>
        <v>BD-18</v>
      </c>
      <c r="C24" s="131" t="str">
        <f aca="false">'2. Hypothèses'!$B$93</f>
        <v>Traitement des courriers et pièces entrantes</v>
      </c>
      <c r="D24" s="132" t="n">
        <f aca="false">IF($D$7=1,('2. Hypothèses'!$E$93*'2. Hypothèses'!$K$93*('2. Hypothèses'!$F$93*p_ch-'2. Hypothèses'!$L$93*'2. Hypothèses'!$J$93*p_ch-(1-'2. Hypothèses'!$L$93)*'2. Hypothèses'!$G$93*p_ch-(1-'2. Hypothèses'!$L$93)*p_s*p_ts*p_ch-'2. Hypothèses'!$M$93*$D$8-p_sauto*p_cjuge))*(1-p_delta)*$D$9-(('2. Hypothèses'!$P$93+'2. Hypothèses'!$Q$93)*p_Cetp+$D$11*('2. Hypothèses'!$N$93+'2. Hypothèses'!$O$93))-p_lam*p_Cinc,0)</f>
        <v>473083.75</v>
      </c>
      <c r="E24" s="132" t="n">
        <f aca="false">IF($E$7=1,('2. Hypothèses'!$E$93*'2. Hypothèses'!$K$93*('2. Hypothèses'!$F$93*p_ch-'2. Hypothèses'!$L$93*'2. Hypothèses'!$J$93*p_ch-(1-'2. Hypothèses'!$L$93)*'2. Hypothèses'!$G$93*p_ch-(1-'2. Hypothèses'!$L$93)*p_s*p_ts*p_ch-'2. Hypothèses'!$M$93*$E$8-p_sauto*p_cjuge))*(1-p_delta)*$E$9-(('2. Hypothèses'!$P$93+'2. Hypothèses'!$Q$93)*p_Cetp+$E$11*('2. Hypothèses'!$N$93+'2. Hypothèses'!$O$93))-p_lam*p_Cinc,0)</f>
        <v>547226.4375</v>
      </c>
      <c r="F24" s="132" t="n">
        <f aca="false">IF($F$7=1,('2. Hypothèses'!$E$93*'2. Hypothèses'!$K$93*('2. Hypothèses'!$F$93*p_ch-'2. Hypothèses'!$L$93*'2. Hypothèses'!$J$93*p_ch-(1-'2. Hypothèses'!$L$93)*'2. Hypothèses'!$G$93*p_ch-(1-'2. Hypothèses'!$L$93)*p_s*p_ts*p_ch-'2. Hypothèses'!$M$93*$F$8-p_sauto*p_cjuge))*(1-p_delta)*$F$9-(('2. Hypothèses'!$P$93+'2. Hypothèses'!$Q$93)*p_Cetp+$F$11*('2. Hypothèses'!$N$93+'2. Hypothèses'!$O$93))-p_lam*p_Cinc,0)</f>
        <v>476713.1625</v>
      </c>
      <c r="G24" s="132" t="n">
        <f aca="false">IF($G$7=1,('2. Hypothèses'!$E$93*'2. Hypothèses'!$K$93*('2. Hypothèses'!$F$93*p_ch-'2. Hypothèses'!$L$93*'2. Hypothèses'!$J$93*p_ch-(1-'2. Hypothèses'!$L$93)*'2. Hypothèses'!$G$93*p_ch-(1-'2. Hypothèses'!$L$93)*p_s*p_ts*p_ch-'2. Hypothèses'!$M$93*$G$8-p_sauto*p_cjuge))*(1-p_delta)*$G$9-(('2. Hypothèses'!$P$93+'2. Hypothèses'!$Q$93)*p_Cetp+$G$11*('2. Hypothèses'!$N$93+'2. Hypothèses'!$O$93))-p_lam*p_Cinc,0)</f>
        <v>0</v>
      </c>
      <c r="H24" s="132" t="n">
        <f aca="false">IF($H$7=1,('2. Hypothèses'!$E$93*'2. Hypothèses'!$K$93*('2. Hypothèses'!$F$93*p_ch-'2. Hypothèses'!$L$93*'2. Hypothèses'!$J$93*p_ch-(1-'2. Hypothèses'!$L$93)*'2. Hypothèses'!$G$93*p_ch-(1-'2. Hypothèses'!$L$93)*p_s*p_ts*p_ch-'2. Hypothèses'!$M$93*$H$8-p_sauto*p_cjuge))*(1-p_delta)*$H$9-(('2. Hypothèses'!$P$93+'2. Hypothèses'!$Q$93)*p_Cetp+$H$11*('2. Hypothèses'!$N$93+'2. Hypothèses'!$O$93))-p_lam*p_Cinc,0)</f>
        <v>0</v>
      </c>
      <c r="I24" s="132" t="n">
        <f aca="false">D24</f>
        <v>473083.75</v>
      </c>
      <c r="J24" s="132" t="n">
        <f aca="false">I24+E24</f>
        <v>1020310.1875</v>
      </c>
      <c r="K24" s="132" t="n">
        <f aca="false">J24+F24</f>
        <v>1497023.35</v>
      </c>
      <c r="L24" s="132" t="n">
        <f aca="false">K24+G24</f>
        <v>1497023.35</v>
      </c>
      <c r="M24" s="132" t="n">
        <f aca="false">L24+H24</f>
        <v>1497023.35</v>
      </c>
      <c r="N24" s="133" t="n">
        <f aca="false">IF(AND($D$7=1,I24&gt;='2. Hypothèses'!$N$93+'2. Hypothèses'!$O$93),1,0)</f>
        <v>1</v>
      </c>
      <c r="O24" s="133" t="n">
        <f aca="false">IF(AND($E$7=1,J24&gt;='2. Hypothèses'!$N$93+'2. Hypothèses'!$O$93),1,0)</f>
        <v>1</v>
      </c>
      <c r="P24" s="133" t="n">
        <f aca="false">IF(AND($F$7=1,K24&gt;='2. Hypothèses'!$N$93+'2. Hypothèses'!$O$93),1,0)</f>
        <v>1</v>
      </c>
      <c r="Q24" s="133" t="n">
        <f aca="false">IF(AND($G$7=1,L24&gt;='2. Hypothèses'!$N$93+'2. Hypothèses'!$O$93),1,0)</f>
        <v>0</v>
      </c>
      <c r="R24" s="133" t="n">
        <f aca="false">IF(AND($H$7=1,M24&gt;='2. Hypothèses'!$N$93+'2. Hypothèses'!$O$93),1,0)</f>
        <v>0</v>
      </c>
    </row>
    <row r="26" customFormat="false" ht="18.75" hidden="false" customHeight="true" outlineLevel="0" collapsed="false">
      <c r="A26" s="4" t="s">
        <v>786</v>
      </c>
      <c r="B26" s="4"/>
      <c r="C26" s="4"/>
      <c r="D26" s="4"/>
      <c r="E26" s="4"/>
      <c r="F26" s="4"/>
      <c r="G26" s="4"/>
      <c r="H26" s="4"/>
      <c r="I26" s="4"/>
      <c r="J26" s="4"/>
      <c r="K26" s="4"/>
      <c r="L26" s="4"/>
      <c r="M26" s="4"/>
      <c r="N26" s="4"/>
      <c r="O26" s="4"/>
      <c r="P26" s="4"/>
      <c r="Q26" s="4"/>
    </row>
    <row r="27" customFormat="false" ht="30" hidden="false" customHeight="true" outlineLevel="0" collapsed="false">
      <c r="A27" s="8" t="s">
        <v>787</v>
      </c>
      <c r="B27" s="8" t="s">
        <v>350</v>
      </c>
      <c r="C27" s="8" t="s">
        <v>349</v>
      </c>
      <c r="D27" s="8" t="s">
        <v>351</v>
      </c>
      <c r="E27" s="8" t="s">
        <v>788</v>
      </c>
      <c r="F27" s="8" t="s">
        <v>789</v>
      </c>
      <c r="G27" s="8" t="s">
        <v>790</v>
      </c>
      <c r="H27" s="8" t="s">
        <v>791</v>
      </c>
      <c r="I27" s="8" t="s">
        <v>746</v>
      </c>
      <c r="J27" s="8" t="s">
        <v>748</v>
      </c>
      <c r="K27" s="8" t="s">
        <v>611</v>
      </c>
      <c r="L27" s="8" t="s">
        <v>792</v>
      </c>
      <c r="M27" s="8" t="s">
        <v>793</v>
      </c>
      <c r="N27" s="8" t="s">
        <v>794</v>
      </c>
      <c r="O27" s="8" t="s">
        <v>795</v>
      </c>
      <c r="P27" s="8" t="s">
        <v>796</v>
      </c>
      <c r="Q27" s="8" t="s">
        <v>797</v>
      </c>
    </row>
    <row r="28" customFormat="false" ht="25.5" hidden="false" customHeight="true" outlineLevel="0" collapsed="false">
      <c r="A28" s="53" t="n">
        <f aca="false">O28</f>
        <v>2</v>
      </c>
      <c r="B28" s="134" t="str">
        <f aca="false">'2. Hypothèses'!$C$84</f>
        <v>FT-01</v>
      </c>
      <c r="C28" s="135" t="str">
        <f aca="false">'2. Hypothèses'!$B$84</f>
        <v>Investigation LCB-FT</v>
      </c>
      <c r="D28" s="136" t="str">
        <f aca="false">'2. Hypothèses'!$D$84</f>
        <v>Fonctions transverses</v>
      </c>
      <c r="E28" s="137" t="n">
        <f aca="false">'2. Hypothèses'!$E$84</f>
        <v>120000</v>
      </c>
      <c r="F28" s="138" t="n">
        <f aca="false">'2. Hypothèses'!$K$84</f>
        <v>0.55</v>
      </c>
      <c r="G28" s="138" t="n">
        <f aca="false">'2. Hypothèses'!$L$84</f>
        <v>0.2</v>
      </c>
      <c r="H28" s="139" t="n">
        <f aca="false">SUMPRODUCT($D15:$H15,$D$10:$H$10)</f>
        <v>2302666.59353869</v>
      </c>
      <c r="I28" s="140" t="n">
        <f aca="false">(1-'2. Hypothèses'!$R$84)*H28-'2. Hypothèses'!$R$84*('2. Hypothèses'!$N$84+'2. Hypothèses'!$O$84+('2. Hypothèses'!$P$84+'2. Hypothèses'!$Q$84)*p_Cetp)</f>
        <v>1050466.62644628</v>
      </c>
      <c r="J28" s="141" t="n">
        <f aca="false">IF(N28=0,"",I28/N28)</f>
        <v>1.19174834837753</v>
      </c>
      <c r="K28" s="142" t="n">
        <f aca="false">IF(Q28=99,"Aucun retour sur l’horizon",Q28)</f>
        <v>1</v>
      </c>
      <c r="L28" s="143" t="n">
        <f aca="false">IF(p_H=0,"",('2. Hypothèses'!$E$84*'2. Hypothèses'!$F$84-'2. Hypothèses'!$E$84*((1-'2. Hypothèses'!$K$84)*'2. Hypothèses'!$F$84+'2. Hypothèses'!$K$84*'2. Hypothèses'!$L$84*'2. Hypothèses'!$J$84+'2. Hypothèses'!$K$84*(1-'2. Hypothèses'!$L$84)*'2. Hypothèses'!$G$84+'2. Hypothèses'!$K$84*(1-'2. Hypothèses'!$L$84)*p_s*p_ts))/p_H)</f>
        <v>19.9996017423771</v>
      </c>
      <c r="M28" s="139" t="n">
        <f aca="false">'2. Hypothèses'!$E$84*'2. Hypothèses'!$K$84*'2. Hypothèses'!$L$84*'2. Hypothèses'!$J$84*p_ch+'2. Hypothèses'!$E$84*'2. Hypothèses'!$K$84*(1-'2. Hypothèses'!$L$84)*'2. Hypothèses'!$G$84*p_ch+'2. Hypothèses'!$E$84*'2. Hypothèses'!$K$84*(1-'2. Hypothèses'!$L$84)*p_s*p_ts*p_ch+'2. Hypothèses'!$E$84*'2. Hypothèses'!$K$84*'2. Hypothèses'!$M$84+'2. Hypothèses'!$E$84*'2. Hypothèses'!$K$84*p_sauto*p_cjuge+'2. Hypothèses'!$N$84+'2. Hypothèses'!$O$84+('2. Hypothèses'!$P$84+'2. Hypothèses'!$Q$84)*p_Cetp+p_lam*p_Cinc</f>
        <v>1824441.6</v>
      </c>
      <c r="N28" s="139" t="n">
        <f aca="false">'2. Hypothèses'!$N$84+'2. Hypothèses'!$O$84+('2. Hypothèses'!$P$84+'2. Hypothèses'!$Q$84)*p_Cetp*SUMPRODUCT($D$10:$H$10,$D$7:$H$7)</f>
        <v>881450.03756574</v>
      </c>
      <c r="O28" s="144" t="n">
        <f aca="false">RANK(J28,$J$28:$J$37,0)+COUNTIF($J$28:J28,J28)-1</f>
        <v>2</v>
      </c>
      <c r="P28" s="144" t="n">
        <f aca="false">RANK(Q28,$Q$28:$Q$37,1)+COUNTIF($Q$28:Q28,Q28)-1</f>
        <v>1</v>
      </c>
      <c r="Q28" s="129" t="n">
        <f aca="false">IF(SUM(N15:R15)=0,99,MATCH(1,N15:R15,0))</f>
        <v>1</v>
      </c>
    </row>
    <row r="29" customFormat="false" ht="25.5" hidden="false" customHeight="true" outlineLevel="0" collapsed="false">
      <c r="A29" s="53" t="n">
        <f aca="false">O29</f>
        <v>1</v>
      </c>
      <c r="B29" s="134" t="str">
        <f aca="false">'2. Hypothèses'!$C$85</f>
        <v>BD-01</v>
      </c>
      <c r="C29" s="135" t="str">
        <f aca="false">'2. Hypothèses'!$B$85</f>
        <v>Service client conversationnel niveau 1</v>
      </c>
      <c r="D29" s="136" t="str">
        <f aca="false">'2. Hypothèses'!$D$85</f>
        <v>Banque de détail</v>
      </c>
      <c r="E29" s="137" t="n">
        <f aca="false">'2. Hypothèses'!$E$85</f>
        <v>600000</v>
      </c>
      <c r="F29" s="138" t="n">
        <f aca="false">'2. Hypothèses'!$K$85</f>
        <v>0.55</v>
      </c>
      <c r="G29" s="138" t="n">
        <f aca="false">'2. Hypothèses'!$L$85</f>
        <v>0.2</v>
      </c>
      <c r="H29" s="139" t="n">
        <f aca="false">SUMPRODUCT($D16:$H16,$D$10:$H$10)</f>
        <v>3189036.40965439</v>
      </c>
      <c r="I29" s="140" t="n">
        <f aca="false">(1-'2. Hypothèses'!$R$85)*H29-'2. Hypothèses'!$R$85*('2. Hypothèses'!$N$85+'2. Hypothèses'!$O$85+('2. Hypothèses'!$P$85+'2. Hypothèses'!$Q$85)*p_Cetp)</f>
        <v>1537970.02530992</v>
      </c>
      <c r="J29" s="141" t="n">
        <f aca="false">IF(N29=0,"",I29/N29)</f>
        <v>1.74481815164165</v>
      </c>
      <c r="K29" s="142" t="n">
        <f aca="false">IF(Q29=99,"Aucun retour sur l’horizon",Q29)</f>
        <v>1</v>
      </c>
      <c r="L29" s="143" t="n">
        <f aca="false">IF(p_H=0,"",('2. Hypothèses'!$E$85*'2. Hypothèses'!$F$85-'2. Hypothèses'!$E$85*((1-'2. Hypothèses'!$K$85)*'2. Hypothèses'!$F$85+'2. Hypothèses'!$K$85*'2. Hypothèses'!$L$85*'2. Hypothèses'!$J$85+'2. Hypothèses'!$K$85*(1-'2. Hypothèses'!$L$85)*'2. Hypothèses'!$G$85+'2. Hypothèses'!$K$85*(1-'2. Hypothèses'!$L$85)*p_s*p_ts))/p_H)</f>
        <v>25.2500311138768</v>
      </c>
      <c r="M29" s="139" t="n">
        <f aca="false">'2. Hypothèses'!$E$85*'2. Hypothèses'!$K$85*'2. Hypothèses'!$L$85*'2. Hypothèses'!$J$85*p_ch+'2. Hypothèses'!$E$85*'2. Hypothèses'!$K$85*(1-'2. Hypothèses'!$L$85)*'2. Hypothèses'!$G$85*p_ch+'2. Hypothèses'!$E$85*'2. Hypothèses'!$K$85*(1-'2. Hypothèses'!$L$85)*p_s*p_ts*p_ch+'2. Hypothèses'!$E$85*'2. Hypothèses'!$K$85*'2. Hypothèses'!$M$85+'2. Hypothèses'!$E$85*'2. Hypothèses'!$K$85*p_sauto*p_cjuge+'2. Hypothèses'!$N$85+'2. Hypothèses'!$O$85+('2. Hypothèses'!$P$85+'2. Hypothèses'!$Q$85)*p_Cetp+p_lam*p_Cinc</f>
        <v>2381508</v>
      </c>
      <c r="N29" s="139" t="n">
        <f aca="false">'2. Hypothèses'!$N$85+'2. Hypothèses'!$O$85+('2. Hypothèses'!$P$85+'2. Hypothèses'!$Q$85)*p_Cetp*SUMPRODUCT($D$10:$H$10,$D$7:$H$7)</f>
        <v>881450.03756574</v>
      </c>
      <c r="O29" s="144" t="n">
        <f aca="false">RANK(J29,$J$28:$J$37,0)+COUNTIF($J$28:J29,J29)-1</f>
        <v>1</v>
      </c>
      <c r="P29" s="144" t="n">
        <f aca="false">RANK(Q29,$Q$28:$Q$37,1)+COUNTIF($Q$28:Q29,Q29)-1</f>
        <v>2</v>
      </c>
      <c r="Q29" s="129" t="n">
        <f aca="false">IF(SUM(N16:R16)=0,99,MATCH(1,N16:R16,0))</f>
        <v>1</v>
      </c>
    </row>
    <row r="30" customFormat="false" ht="25.5" hidden="false" customHeight="true" outlineLevel="0" collapsed="false">
      <c r="A30" s="53" t="n">
        <f aca="false">O30</f>
        <v>8</v>
      </c>
      <c r="B30" s="134" t="str">
        <f aca="false">'2. Hypothèses'!$C$86</f>
        <v>BD-04</v>
      </c>
      <c r="C30" s="135" t="str">
        <f aca="false">'2. Hypothèses'!$B$86</f>
        <v>Entrée en relation et KYC particuliers</v>
      </c>
      <c r="D30" s="136" t="str">
        <f aca="false">'2. Hypothèses'!$D$86</f>
        <v>Banque de détail</v>
      </c>
      <c r="E30" s="137" t="n">
        <f aca="false">'2. Hypothèses'!$E$86</f>
        <v>45000</v>
      </c>
      <c r="F30" s="138" t="n">
        <f aca="false">'2. Hypothèses'!$K$86</f>
        <v>0.5</v>
      </c>
      <c r="G30" s="138" t="n">
        <f aca="false">'2. Hypothèses'!$L$86</f>
        <v>0.25</v>
      </c>
      <c r="H30" s="139" t="n">
        <f aca="false">SUMPRODUCT($D17:$H17,$D$10:$H$10)</f>
        <v>771819.211647727</v>
      </c>
      <c r="I30" s="140" t="n">
        <f aca="false">(1-'2. Hypothèses'!$R$86)*H30-'2. Hypothèses'!$R$86*('2. Hypothèses'!$N$86+'2. Hypothèses'!$O$86+('2. Hypothèses'!$P$86+'2. Hypothèses'!$Q$86)*p_Cetp)</f>
        <v>95909.6058238636</v>
      </c>
      <c r="J30" s="141" t="n">
        <f aca="false">IF(N30=0,"",I30/N30)</f>
        <v>0.0934740827657742</v>
      </c>
      <c r="K30" s="142" t="n">
        <f aca="false">IF(Q30=99,"Aucun retour sur l’horizon",Q30)</f>
        <v>2</v>
      </c>
      <c r="L30" s="143" t="n">
        <f aca="false">IF(p_H=0,"",('2. Hypothèses'!$E$86*'2. Hypothèses'!$F$86-'2. Hypothèses'!$E$86*((1-'2. Hypothèses'!$K$86)*'2. Hypothèses'!$F$86+'2. Hypothèses'!$K$86*'2. Hypothèses'!$L$86*'2. Hypothèses'!$J$86+'2. Hypothèses'!$K$86*(1-'2. Hypothèses'!$L$86)*'2. Hypothèses'!$G$86+'2. Hypothèses'!$K$86*(1-'2. Hypothèses'!$L$86)*p_s*p_ts))/p_H)</f>
        <v>12.0361698817673</v>
      </c>
      <c r="M30" s="139" t="n">
        <f aca="false">'2. Hypothèses'!$E$86*'2. Hypothèses'!$K$86*'2. Hypothèses'!$L$86*'2. Hypothèses'!$J$86*p_ch+'2. Hypothèses'!$E$86*'2. Hypothèses'!$K$86*(1-'2. Hypothèses'!$L$86)*'2. Hypothèses'!$G$86*p_ch+'2. Hypothèses'!$E$86*'2. Hypothèses'!$K$86*(1-'2. Hypothèses'!$L$86)*p_s*p_ts*p_ch+'2. Hypothèses'!$E$86*'2. Hypothèses'!$K$86*'2. Hypothèses'!$M$86+'2. Hypothèses'!$E$86*'2. Hypothèses'!$K$86*p_sauto*p_cjuge+'2. Hypothèses'!$N$86+'2. Hypothèses'!$O$86+('2. Hypothèses'!$P$86+'2. Hypothèses'!$Q$86)*p_Cetp+p_lam*p_Cinc</f>
        <v>1700261.875</v>
      </c>
      <c r="N30" s="139" t="n">
        <f aca="false">'2. Hypothèses'!$N$86+'2. Hypothèses'!$O$86+('2. Hypothèses'!$P$86+'2. Hypothèses'!$Q$86)*p_Cetp*SUMPRODUCT($D$10:$H$10,$D$7:$H$7)</f>
        <v>1026055.59729527</v>
      </c>
      <c r="O30" s="144" t="n">
        <f aca="false">RANK(J30,$J$28:$J$37,0)+COUNTIF($J$28:J30,J30)-1</f>
        <v>8</v>
      </c>
      <c r="P30" s="144" t="n">
        <f aca="false">RANK(Q30,$Q$28:$Q$37,1)+COUNTIF($Q$28:Q30,Q30)-1</f>
        <v>7</v>
      </c>
      <c r="Q30" s="129" t="n">
        <f aca="false">IF(SUM(N17:R17)=0,99,MATCH(1,N17:R17,0))</f>
        <v>2</v>
      </c>
    </row>
    <row r="31" customFormat="false" ht="25.5" hidden="false" customHeight="true" outlineLevel="0" collapsed="false">
      <c r="A31" s="53" t="n">
        <f aca="false">O31</f>
        <v>4</v>
      </c>
      <c r="B31" s="134" t="str">
        <f aca="false">'2. Hypothèses'!$C$87</f>
        <v>MC-04</v>
      </c>
      <c r="C31" s="135" t="str">
        <f aca="false">'2. Hypothèses'!$B$87</f>
        <v>Post-marché, réconciliation et suspens</v>
      </c>
      <c r="D31" s="136" t="str">
        <f aca="false">'2. Hypothèses'!$D$87</f>
        <v>Marchés de capitaux</v>
      </c>
      <c r="E31" s="137" t="n">
        <f aca="false">'2. Hypothèses'!$E$87</f>
        <v>250000</v>
      </c>
      <c r="F31" s="138" t="n">
        <f aca="false">'2. Hypothèses'!$K$87</f>
        <v>0.6</v>
      </c>
      <c r="G31" s="138" t="n">
        <f aca="false">'2. Hypothèses'!$L$87</f>
        <v>0.15</v>
      </c>
      <c r="H31" s="139" t="n">
        <f aca="false">SUMPRODUCT($D18:$H18,$D$10:$H$10)</f>
        <v>1114866.83766905</v>
      </c>
      <c r="I31" s="140" t="n">
        <f aca="false">(1-'2. Hypothèses'!$R$87)*H31-'2. Hypothèses'!$R$87*('2. Hypothèses'!$N$87+'2. Hypothèses'!$O$87+('2. Hypothèses'!$P$87+'2. Hypothèses'!$Q$87)*p_Cetp)</f>
        <v>516920.102601427</v>
      </c>
      <c r="J31" s="141" t="n">
        <f aca="false">IF(N31=0,"",I31/N31)</f>
        <v>0.798167815037703</v>
      </c>
      <c r="K31" s="142" t="n">
        <f aca="false">IF(Q31=99,"Aucun retour sur l’horizon",Q31)</f>
        <v>1</v>
      </c>
      <c r="L31" s="143" t="n">
        <f aca="false">IF(p_H=0,"",('2. Hypothèses'!$E$87*'2. Hypothèses'!$F$87-'2. Hypothèses'!$E$87*((1-'2. Hypothèses'!$K$87)*'2. Hypothèses'!$F$87+'2. Hypothèses'!$K$87*'2. Hypothèses'!$L$87*'2. Hypothèses'!$J$87+'2. Hypothèses'!$K$87*(1-'2. Hypothèses'!$L$87)*'2. Hypothèses'!$G$87+'2. Hypothèses'!$K$87*(1-'2. Hypothèses'!$L$87)*p_s*p_ts))/p_H)</f>
        <v>12.4863098942128</v>
      </c>
      <c r="M31" s="139" t="n">
        <f aca="false">'2. Hypothèses'!$E$87*'2. Hypothèses'!$K$87*'2. Hypothèses'!$L$87*'2. Hypothèses'!$J$87*p_ch+'2. Hypothèses'!$E$87*'2. Hypothèses'!$K$87*(1-'2. Hypothèses'!$L$87)*'2. Hypothèses'!$G$87*p_ch+'2. Hypothèses'!$E$87*'2. Hypothèses'!$K$87*(1-'2. Hypothèses'!$L$87)*p_s*p_ts*p_ch+'2. Hypothèses'!$E$87*'2. Hypothèses'!$K$87*'2. Hypothèses'!$M$87+'2. Hypothèses'!$E$87*'2. Hypothèses'!$K$87*p_sauto*p_cjuge+'2. Hypothèses'!$N$87+'2. Hypothèses'!$O$87+('2. Hypothèses'!$P$87+'2. Hypothèses'!$Q$87)*p_Cetp+p_lam*p_Cinc</f>
        <v>1250742.5</v>
      </c>
      <c r="N31" s="139" t="n">
        <f aca="false">'2. Hypothèses'!$N$87+'2. Hypothèses'!$O$87+('2. Hypothèses'!$P$87+'2. Hypothèses'!$Q$87)*p_Cetp*SUMPRODUCT($D$10:$H$10,$D$7:$H$7)</f>
        <v>647633.35837716</v>
      </c>
      <c r="O31" s="144" t="n">
        <f aca="false">RANK(J31,$J$28:$J$37,0)+COUNTIF($J$28:J31,J31)-1</f>
        <v>4</v>
      </c>
      <c r="P31" s="144" t="n">
        <f aca="false">RANK(Q31,$Q$28:$Q$37,1)+COUNTIF($Q$28:Q31,Q31)-1</f>
        <v>3</v>
      </c>
      <c r="Q31" s="129" t="n">
        <f aca="false">IF(SUM(N18:R18)=0,99,MATCH(1,N18:R18,0))</f>
        <v>1</v>
      </c>
    </row>
    <row r="32" customFormat="false" ht="25.5" hidden="false" customHeight="true" outlineLevel="0" collapsed="false">
      <c r="A32" s="53" t="n">
        <f aca="false">O32</f>
        <v>6</v>
      </c>
      <c r="B32" s="134" t="str">
        <f aca="false">'2. Hypothèses'!$C$88</f>
        <v>AS-04</v>
      </c>
      <c r="C32" s="135" t="str">
        <f aca="false">'2. Hypothèses'!$B$88</f>
        <v>Prise de déclaration de sinistre, canal vocal</v>
      </c>
      <c r="D32" s="136" t="str">
        <f aca="false">'2. Hypothèses'!$D$88</f>
        <v>Assurance</v>
      </c>
      <c r="E32" s="137" t="n">
        <f aca="false">'2. Hypothèses'!$E$88</f>
        <v>180000</v>
      </c>
      <c r="F32" s="138" t="n">
        <f aca="false">'2. Hypothèses'!$K$88</f>
        <v>0.55</v>
      </c>
      <c r="G32" s="138" t="n">
        <f aca="false">'2. Hypothèses'!$L$88</f>
        <v>0.2</v>
      </c>
      <c r="H32" s="139" t="n">
        <f aca="false">SUMPRODUCT($D19:$H19,$D$10:$H$10)</f>
        <v>997690.254695717</v>
      </c>
      <c r="I32" s="140" t="n">
        <f aca="false">(1-'2. Hypothèses'!$R$88)*H32-'2. Hypothèses'!$R$88*('2. Hypothèses'!$N$88+'2. Hypothèses'!$O$88+('2. Hypothèses'!$P$88+'2. Hypothèses'!$Q$88)*p_Cetp)</f>
        <v>314729.640082645</v>
      </c>
      <c r="J32" s="141" t="n">
        <f aca="false">IF(N32=0,"",I32/N32)</f>
        <v>0.341559094092707</v>
      </c>
      <c r="K32" s="142" t="n">
        <f aca="false">IF(Q32=99,"Aucun retour sur l’horizon",Q32)</f>
        <v>1</v>
      </c>
      <c r="L32" s="143" t="n">
        <f aca="false">IF(p_H=0,"",('2. Hypothèses'!$E$88*'2. Hypothèses'!$F$88-'2. Hypothèses'!$E$88*((1-'2. Hypothèses'!$K$88)*'2. Hypothèses'!$F$88+'2. Hypothèses'!$K$88*'2. Hypothèses'!$L$88*'2. Hypothèses'!$J$88+'2. Hypothèses'!$K$88*(1-'2. Hypothèses'!$L$88)*'2. Hypothèses'!$G$88+'2. Hypothèses'!$K$88*(1-'2. Hypothèses'!$L$88)*p_s*p_ts))/p_H)</f>
        <v>13.3659240821406</v>
      </c>
      <c r="M32" s="139" t="n">
        <f aca="false">'2. Hypothèses'!$E$88*'2. Hypothèses'!$K$88*'2. Hypothèses'!$L$88*'2. Hypothèses'!$J$88*p_ch+'2. Hypothèses'!$E$88*'2. Hypothèses'!$K$88*(1-'2. Hypothèses'!$L$88)*'2. Hypothèses'!$G$88*p_ch+'2. Hypothèses'!$E$88*'2. Hypothèses'!$K$88*(1-'2. Hypothèses'!$L$88)*p_s*p_ts*p_ch+'2. Hypothèses'!$E$88*'2. Hypothèses'!$K$88*'2. Hypothèses'!$M$88+'2. Hypothèses'!$E$88*'2. Hypothèses'!$K$88*p_sauto*p_cjuge+'2. Hypothèses'!$N$88+'2. Hypothèses'!$O$88+('2. Hypothèses'!$P$88+'2. Hypothèses'!$Q$88)*p_Cetp+p_lam*p_Cinc</f>
        <v>1605312.4</v>
      </c>
      <c r="N32" s="139" t="n">
        <f aca="false">'2. Hypothèses'!$N$88+'2. Hypothèses'!$O$88+('2. Hypothèses'!$P$88+'2. Hypothèses'!$Q$88)*p_Cetp*SUMPRODUCT($D$10:$H$10,$D$7:$H$7)</f>
        <v>921450.03756574</v>
      </c>
      <c r="O32" s="144" t="n">
        <f aca="false">RANK(J32,$J$28:$J$37,0)+COUNTIF($J$28:J32,J32)-1</f>
        <v>6</v>
      </c>
      <c r="P32" s="144" t="n">
        <f aca="false">RANK(Q32,$Q$28:$Q$37,1)+COUNTIF($Q$28:Q32,Q32)-1</f>
        <v>4</v>
      </c>
      <c r="Q32" s="129" t="n">
        <f aca="false">IF(SUM(N19:R19)=0,99,MATCH(1,N19:R19,0))</f>
        <v>1</v>
      </c>
    </row>
    <row r="33" customFormat="false" ht="25.5" hidden="false" customHeight="true" outlineLevel="0" collapsed="false">
      <c r="A33" s="53" t="n">
        <f aca="false">O33</f>
        <v>7</v>
      </c>
      <c r="B33" s="134" t="str">
        <f aca="false">'2. Hypothèses'!$C$89</f>
        <v>PA-06</v>
      </c>
      <c r="C33" s="135" t="str">
        <f aca="false">'2. Hypothèses'!$B$89</f>
        <v>Investigations et exceptions de paiement</v>
      </c>
      <c r="D33" s="136" t="str">
        <f aca="false">'2. Hypothèses'!$D$89</f>
        <v>Paiements</v>
      </c>
      <c r="E33" s="137" t="n">
        <f aca="false">'2. Hypothèses'!$E$89</f>
        <v>90000</v>
      </c>
      <c r="F33" s="138" t="n">
        <f aca="false">'2. Hypothèses'!$K$89</f>
        <v>0.55</v>
      </c>
      <c r="G33" s="138" t="n">
        <f aca="false">'2. Hypothèses'!$L$89</f>
        <v>0.2</v>
      </c>
      <c r="H33" s="139" t="n">
        <f aca="false">SUMPRODUCT($D20:$H20,$D$10:$H$10)</f>
        <v>510089.519487228</v>
      </c>
      <c r="I33" s="140" t="n">
        <f aca="false">(1-'2. Hypothèses'!$R$89)*H33-'2. Hypothèses'!$R$89*('2. Hypothèses'!$N$89+'2. Hypothèses'!$O$89+('2. Hypothèses'!$P$89+'2. Hypothèses'!$Q$89)*p_Cetp)</f>
        <v>78049.2357179752</v>
      </c>
      <c r="J33" s="141" t="n">
        <f aca="false">IF(N33=0,"",I33/N33)</f>
        <v>0.0967339281137386</v>
      </c>
      <c r="K33" s="142" t="n">
        <f aca="false">IF(Q33=99,"Aucun retour sur l’horizon",Q33)</f>
        <v>2</v>
      </c>
      <c r="L33" s="143" t="n">
        <f aca="false">IF(p_H=0,"",('2. Hypothèses'!$E$89*'2. Hypothèses'!$F$89-'2. Hypothèses'!$E$89*((1-'2. Hypothèses'!$K$89)*'2. Hypothèses'!$F$89+'2. Hypothèses'!$K$89*'2. Hypothèses'!$L$89*'2. Hypothèses'!$J$89+'2. Hypothèses'!$K$89*(1-'2. Hypothèses'!$L$89)*'2. Hypothèses'!$G$89+'2. Hypothèses'!$K$89*(1-'2. Hypothèses'!$L$89)*p_s*p_ts))/p_H)</f>
        <v>9.64002489110143</v>
      </c>
      <c r="M33" s="139" t="n">
        <f aca="false">'2. Hypothèses'!$E$89*'2. Hypothèses'!$K$89*'2. Hypothèses'!$L$89*'2. Hypothèses'!$J$89*p_ch+'2. Hypothèses'!$E$89*'2. Hypothèses'!$K$89*(1-'2. Hypothèses'!$L$89)*'2. Hypothèses'!$G$89*p_ch+'2. Hypothèses'!$E$89*'2. Hypothèses'!$K$89*(1-'2. Hypothèses'!$L$89)*p_s*p_ts*p_ch+'2. Hypothèses'!$E$89*'2. Hypothèses'!$K$89*'2. Hypothèses'!$M$89+'2. Hypothèses'!$E$89*'2. Hypothèses'!$K$89*p_sauto*p_cjuge+'2. Hypothèses'!$N$89+'2. Hypothèses'!$O$89+('2. Hypothèses'!$P$89+'2. Hypothèses'!$Q$89)*p_Cetp+p_lam*p_Cinc</f>
        <v>1246351.2</v>
      </c>
      <c r="N33" s="139" t="n">
        <f aca="false">'2. Hypothèses'!$N$89+'2. Hypothèses'!$O$89+('2. Hypothèses'!$P$89+'2. Hypothèses'!$Q$89)*p_Cetp*SUMPRODUCT($D$10:$H$10,$D$7:$H$7)</f>
        <v>806844.477836213</v>
      </c>
      <c r="O33" s="144" t="n">
        <f aca="false">RANK(J33,$J$28:$J$37,0)+COUNTIF($J$28:J33,J33)-1</f>
        <v>7</v>
      </c>
      <c r="P33" s="144" t="n">
        <f aca="false">RANK(Q33,$Q$28:$Q$37,1)+COUNTIF($Q$28:Q33,Q33)-1</f>
        <v>8</v>
      </c>
      <c r="Q33" s="129" t="n">
        <f aca="false">IF(SUM(N20:R20)=0,99,MATCH(1,N20:R20,0))</f>
        <v>2</v>
      </c>
    </row>
    <row r="34" customFormat="false" ht="25.5" hidden="false" customHeight="true" outlineLevel="0" collapsed="false">
      <c r="A34" s="53" t="n">
        <f aca="false">O34</f>
        <v>5</v>
      </c>
      <c r="B34" s="134" t="str">
        <f aca="false">'2. Hypothèses'!$C$90</f>
        <v>FT-02</v>
      </c>
      <c r="C34" s="135" t="str">
        <f aca="false">'2. Hypothèses'!$B$90</f>
        <v>Revue de presse négative et criblage nominatif</v>
      </c>
      <c r="D34" s="136" t="str">
        <f aca="false">'2. Hypothèses'!$D$90</f>
        <v>Fonctions transverses</v>
      </c>
      <c r="E34" s="137" t="n">
        <f aca="false">'2. Hypothèses'!$E$90</f>
        <v>300000</v>
      </c>
      <c r="F34" s="138" t="n">
        <f aca="false">'2. Hypothèses'!$K$90</f>
        <v>0.65</v>
      </c>
      <c r="G34" s="138" t="n">
        <f aca="false">'2. Hypothèses'!$L$90</f>
        <v>0.15</v>
      </c>
      <c r="H34" s="139" t="n">
        <f aca="false">SUMPRODUCT($D21:$H21,$D$10:$H$10)</f>
        <v>644356.155029113</v>
      </c>
      <c r="I34" s="140" t="n">
        <f aca="false">(1-'2. Hypothèses'!$R$90)*H34-'2. Hypothèses'!$R$90*('2. Hypothèses'!$N$90+'2. Hypothèses'!$O$90+('2. Hypothèses'!$P$90+'2. Hypothèses'!$Q$90)*p_Cetp)</f>
        <v>250613.693017468</v>
      </c>
      <c r="J34" s="141" t="n">
        <f aca="false">IF(N34=0,"",I34/N34)</f>
        <v>0.412442288696585</v>
      </c>
      <c r="K34" s="142" t="n">
        <f aca="false">IF(Q34=99,"Aucun retour sur l’horizon",Q34)</f>
        <v>1</v>
      </c>
      <c r="L34" s="143" t="n">
        <f aca="false">IF(p_H=0,"",('2. Hypothèses'!$E$90*'2. Hypothèses'!$F$90-'2. Hypothèses'!$E$90*((1-'2. Hypothèses'!$K$90)*'2. Hypothèses'!$F$90+'2. Hypothèses'!$K$90*'2. Hypothèses'!$L$90*'2. Hypothèses'!$J$90+'2. Hypothèses'!$K$90*(1-'2. Hypothèses'!$L$90)*'2. Hypothèses'!$G$90+'2. Hypothèses'!$K$90*(1-'2. Hypothèses'!$L$90)*p_s*p_ts))/p_H)</f>
        <v>9.37626011200996</v>
      </c>
      <c r="M34" s="139" t="n">
        <f aca="false">'2. Hypothèses'!$E$90*'2. Hypothèses'!$K$90*'2. Hypothèses'!$L$90*'2. Hypothèses'!$J$90*p_ch+'2. Hypothèses'!$E$90*'2. Hypothèses'!$K$90*(1-'2. Hypothèses'!$L$90)*'2. Hypothèses'!$G$90*p_ch+'2. Hypothèses'!$E$90*'2. Hypothèses'!$K$90*(1-'2. Hypothèses'!$L$90)*p_s*p_ts*p_ch+'2. Hypothèses'!$E$90*'2. Hypothèses'!$K$90*'2. Hypothèses'!$M$90+'2. Hypothèses'!$E$90*'2. Hypothèses'!$K$90*p_sauto*p_cjuge+'2. Hypothèses'!$N$90+'2. Hypothèses'!$O$90+('2. Hypothèses'!$P$90+'2. Hypothèses'!$Q$90)*p_Cetp+p_lam*p_Cinc</f>
        <v>1080352.75</v>
      </c>
      <c r="N34" s="139" t="n">
        <f aca="false">'2. Hypothèses'!$N$90+'2. Hypothèses'!$O$90+('2. Hypothèses'!$P$90+'2. Hypothèses'!$Q$90)*p_Cetp*SUMPRODUCT($D$10:$H$10,$D$7:$H$7)</f>
        <v>607633.35837716</v>
      </c>
      <c r="O34" s="144" t="n">
        <f aca="false">RANK(J34,$J$28:$J$37,0)+COUNTIF($J$28:J34,J34)-1</f>
        <v>5</v>
      </c>
      <c r="P34" s="144" t="n">
        <f aca="false">RANK(Q34,$Q$28:$Q$37,1)+COUNTIF($Q$28:Q34,Q34)-1</f>
        <v>5</v>
      </c>
      <c r="Q34" s="129" t="n">
        <f aca="false">IF(SUM(N21:R21)=0,99,MATCH(1,N21:R21,0))</f>
        <v>1</v>
      </c>
    </row>
    <row r="35" customFormat="false" ht="25.5" hidden="false" customHeight="true" outlineLevel="0" collapsed="false">
      <c r="A35" s="53" t="n">
        <f aca="false">O35</f>
        <v>9</v>
      </c>
      <c r="B35" s="134" t="str">
        <f aca="false">'2. Hypothèses'!$C$91</f>
        <v>BFI-06</v>
      </c>
      <c r="C35" s="135" t="str">
        <f aca="false">'2. Hypothèses'!$B$91</f>
        <v>KYC entreprises et revue périodique</v>
      </c>
      <c r="D35" s="136" t="str">
        <f aca="false">'2. Hypothèses'!$D$91</f>
        <v>Banque de financement</v>
      </c>
      <c r="E35" s="137" t="n">
        <f aca="false">'2. Hypothèses'!$E$91</f>
        <v>12000</v>
      </c>
      <c r="F35" s="138" t="n">
        <f aca="false">'2. Hypothèses'!$K$91</f>
        <v>0.5</v>
      </c>
      <c r="G35" s="138" t="n">
        <f aca="false">'2. Hypothèses'!$L$91</f>
        <v>0.25</v>
      </c>
      <c r="H35" s="139" t="n">
        <f aca="false">SUMPRODUCT($D22:$H22,$D$10:$H$10)</f>
        <v>190013.630024418</v>
      </c>
      <c r="I35" s="140" t="n">
        <f aca="false">(1-'2. Hypothèses'!$R$91)*H35-'2. Hypothèses'!$R$91*('2. Hypothèses'!$N$91+'2. Hypothèses'!$O$91+('2. Hypothèses'!$P$91+'2. Hypothèses'!$Q$91)*p_Cetp)</f>
        <v>-194993.184987791</v>
      </c>
      <c r="J35" s="141" t="n">
        <f aca="false">IF(N35=0,"",I35/N35)</f>
        <v>-0.190041539173708</v>
      </c>
      <c r="K35" s="142" t="str">
        <f aca="false">IF(Q35=99,"Aucun retour sur l’horizon",Q35)</f>
        <v>Aucun retour sur l’horizon</v>
      </c>
      <c r="L35" s="143" t="n">
        <f aca="false">IF(p_H=0,"",('2. Hypothèses'!$E$91*'2. Hypothèses'!$F$91-'2. Hypothèses'!$E$91*((1-'2. Hypothèses'!$K$91)*'2. Hypothèses'!$F$91+'2. Hypothèses'!$K$91*'2. Hypothèses'!$L$91*'2. Hypothèses'!$J$91+'2. Hypothèses'!$K$91*(1-'2. Hypothèses'!$L$91)*'2. Hypothèses'!$G$91+'2. Hypothèses'!$K$91*(1-'2. Hypothèses'!$L$91)*p_s*p_ts))/p_H)</f>
        <v>8.76347230864966</v>
      </c>
      <c r="M35" s="139" t="n">
        <f aca="false">'2. Hypothèses'!$E$91*'2. Hypothèses'!$K$91*'2. Hypothèses'!$L$91*'2. Hypothèses'!$J$91*p_ch+'2. Hypothèses'!$E$91*'2. Hypothèses'!$K$91*(1-'2. Hypothèses'!$L$91)*'2. Hypothèses'!$G$91*p_ch+'2. Hypothèses'!$E$91*'2. Hypothèses'!$K$91*(1-'2. Hypothèses'!$L$91)*p_s*p_ts*p_ch+'2. Hypothèses'!$E$91*'2. Hypothèses'!$K$91*'2. Hypothèses'!$M$91+'2. Hypothèses'!$E$91*'2. Hypothèses'!$K$91*p_sauto*p_cjuge+'2. Hypothèses'!$N$91+'2. Hypothèses'!$O$91+('2. Hypothèses'!$P$91+'2. Hypothèses'!$Q$91)*p_Cetp+p_lam*p_Cinc</f>
        <v>1398611.5</v>
      </c>
      <c r="N35" s="139" t="n">
        <f aca="false">'2. Hypothèses'!$N$91+'2. Hypothèses'!$O$91+('2. Hypothèses'!$P$91+'2. Hypothèses'!$Q$91)*p_Cetp*SUMPRODUCT($D$10:$H$10,$D$7:$H$7)</f>
        <v>1026055.59729527</v>
      </c>
      <c r="O35" s="144" t="n">
        <f aca="false">RANK(J35,$J$28:$J$37,0)+COUNTIF($J$28:J35,J35)-1</f>
        <v>9</v>
      </c>
      <c r="P35" s="144" t="n">
        <f aca="false">RANK(Q35,$Q$28:$Q$37,1)+COUNTIF($Q$28:Q35,Q35)-1</f>
        <v>9</v>
      </c>
      <c r="Q35" s="129" t="n">
        <f aca="false">IF(SUM(N22:R22)=0,99,MATCH(1,N22:R22,0))</f>
        <v>99</v>
      </c>
    </row>
    <row r="36" customFormat="false" ht="25.5" hidden="false" customHeight="true" outlineLevel="0" collapsed="false">
      <c r="A36" s="53" t="n">
        <f aca="false">O36</f>
        <v>10</v>
      </c>
      <c r="B36" s="134" t="str">
        <f aca="false">'2. Hypothèses'!$C$92</f>
        <v>FT-06</v>
      </c>
      <c r="C36" s="135" t="str">
        <f aca="false">'2. Hypothèses'!$B$92</f>
        <v>Audit interne, planification et collecte de preuve</v>
      </c>
      <c r="D36" s="136" t="str">
        <f aca="false">'2. Hypothèses'!$D$92</f>
        <v>Fonctions transverses</v>
      </c>
      <c r="E36" s="137" t="n">
        <f aca="false">'2. Hypothèses'!$E$92</f>
        <v>8000</v>
      </c>
      <c r="F36" s="138" t="n">
        <f aca="false">'2. Hypothèses'!$K$92</f>
        <v>0.45</v>
      </c>
      <c r="G36" s="138" t="n">
        <f aca="false">'2. Hypothèses'!$L$92</f>
        <v>0.25</v>
      </c>
      <c r="H36" s="139" t="n">
        <f aca="false">SUMPRODUCT($D23:$H23,$D$10:$H$10)</f>
        <v>-473051.434119083</v>
      </c>
      <c r="I36" s="140" t="n">
        <f aca="false">(1-'2. Hypothèses'!$R$92)*H36-'2. Hypothèses'!$R$92*('2. Hypothèses'!$N$92+'2. Hypothèses'!$O$92+('2. Hypothèses'!$P$92+'2. Hypothèses'!$Q$92)*p_Cetp)</f>
        <v>-461525.717059542</v>
      </c>
      <c r="J36" s="141" t="n">
        <f aca="false">IF(N36=0,"",I36/N36)</f>
        <v>-0.572013231468419</v>
      </c>
      <c r="K36" s="142" t="str">
        <f aca="false">IF(Q36=99,"Aucun retour sur l’horizon",Q36)</f>
        <v>Aucun retour sur l’horizon</v>
      </c>
      <c r="L36" s="143" t="n">
        <f aca="false">IF(p_H=0,"",('2. Hypothèses'!$E$92*'2. Hypothèses'!$F$92-'2. Hypothèses'!$E$92*((1-'2. Hypothèses'!$K$92)*'2. Hypothèses'!$F$92+'2. Hypothèses'!$K$92*'2. Hypothèses'!$L$92*'2. Hypothèses'!$J$92+'2. Hypothèses'!$K$92*(1-'2. Hypothèses'!$L$92)*'2. Hypothèses'!$G$92+'2. Hypothèses'!$K$92*(1-'2. Hypothèses'!$L$92)*p_s*p_ts))/p_H)</f>
        <v>3.85795892968264</v>
      </c>
      <c r="M36" s="139" t="n">
        <f aca="false">'2. Hypothèses'!$E$92*'2. Hypothèses'!$K$92*'2. Hypothèses'!$L$92*'2. Hypothèses'!$J$92*p_ch+'2. Hypothèses'!$E$92*'2. Hypothèses'!$K$92*(1-'2. Hypothèses'!$L$92)*'2. Hypothèses'!$G$92*p_ch+'2. Hypothèses'!$E$92*'2. Hypothèses'!$K$92*(1-'2. Hypothèses'!$L$92)*p_s*p_ts*p_ch+'2. Hypothèses'!$E$92*'2. Hypothèses'!$K$92*'2. Hypothèses'!$M$92+'2. Hypothèses'!$E$92*'2. Hypothèses'!$K$92*p_sauto*p_cjuge+'2. Hypothèses'!$N$92+'2. Hypothèses'!$O$92+('2. Hypothèses'!$P$92+'2. Hypothèses'!$Q$92)*p_Cetp+p_lam*p_Cinc</f>
        <v>909816.9</v>
      </c>
      <c r="N36" s="139" t="n">
        <f aca="false">'2. Hypothèses'!$N$92+'2. Hypothèses'!$O$92+('2. Hypothèses'!$P$92+'2. Hypothèses'!$Q$92)*p_Cetp*SUMPRODUCT($D$10:$H$10,$D$7:$H$7)</f>
        <v>806844.477836213</v>
      </c>
      <c r="O36" s="144" t="n">
        <f aca="false">RANK(J36,$J$28:$J$37,0)+COUNTIF($J$28:J36,J36)-1</f>
        <v>10</v>
      </c>
      <c r="P36" s="144" t="n">
        <f aca="false">RANK(Q36,$Q$28:$Q$37,1)+COUNTIF($Q$28:Q36,Q36)-1</f>
        <v>10</v>
      </c>
      <c r="Q36" s="129" t="n">
        <f aca="false">IF(SUM(N23:R23)=0,99,MATCH(1,N23:R23,0))</f>
        <v>99</v>
      </c>
    </row>
    <row r="37" customFormat="false" ht="25.5" hidden="false" customHeight="true" outlineLevel="0" collapsed="false">
      <c r="A37" s="53" t="n">
        <f aca="false">O37</f>
        <v>3</v>
      </c>
      <c r="B37" s="134" t="str">
        <f aca="false">'2. Hypothèses'!$C$93</f>
        <v>BD-18</v>
      </c>
      <c r="C37" s="135" t="str">
        <f aca="false">'2. Hypothèses'!$B$93</f>
        <v>Traitement des courriers et pièces entrantes</v>
      </c>
      <c r="D37" s="136" t="str">
        <f aca="false">'2. Hypothèses'!$D$93</f>
        <v>Banque de détail</v>
      </c>
      <c r="E37" s="137" t="n">
        <f aca="false">'2. Hypothèses'!$E$93</f>
        <v>500000</v>
      </c>
      <c r="F37" s="138" t="n">
        <f aca="false">'2. Hypothèses'!$K$93</f>
        <v>0.7</v>
      </c>
      <c r="G37" s="138" t="n">
        <f aca="false">'2. Hypothèses'!$L$93</f>
        <v>0.1</v>
      </c>
      <c r="H37" s="139" t="n">
        <f aca="false">SUMPRODUCT($D24:$H24,$D$10:$H$10)</f>
        <v>1240491.04526672</v>
      </c>
      <c r="I37" s="140" t="n">
        <f aca="false">(1-'2. Hypothèses'!$R$93)*H37-'2. Hypothèses'!$R$93*('2. Hypothèses'!$N$93+'2. Hypothèses'!$O$93+('2. Hypothèses'!$P$93+'2. Hypothèses'!$Q$93)*p_Cetp)</f>
        <v>616294.62716003</v>
      </c>
      <c r="J37" s="141" t="n">
        <f aca="false">IF(N37=0,"",I37/N37)</f>
        <v>1.04877406698289</v>
      </c>
      <c r="K37" s="142" t="n">
        <f aca="false">IF(Q37=99,"Aucun retour sur l’horizon",Q37)</f>
        <v>1</v>
      </c>
      <c r="L37" s="143" t="n">
        <f aca="false">IF(p_H=0,"",('2. Hypothèses'!$E$93*'2. Hypothèses'!$F$93-'2. Hypothèses'!$E$93*((1-'2. Hypothèses'!$K$93)*'2. Hypothèses'!$F$93+'2. Hypothèses'!$K$93*'2. Hypothèses'!$L$93*'2. Hypothèses'!$J$93+'2. Hypothèses'!$K$93*(1-'2. Hypothèses'!$L$93)*'2. Hypothèses'!$G$93+'2. Hypothèses'!$K$93*(1-'2. Hypothèses'!$L$93)*p_s*p_ts))/p_H)</f>
        <v>12.5407591785937</v>
      </c>
      <c r="M37" s="139" t="n">
        <f aca="false">'2. Hypothèses'!$E$93*'2. Hypothèses'!$K$93*'2. Hypothèses'!$L$93*'2. Hypothèses'!$J$93*p_ch+'2. Hypothèses'!$E$93*'2. Hypothèses'!$K$93*(1-'2. Hypothèses'!$L$93)*'2. Hypothèses'!$G$93*p_ch+'2. Hypothèses'!$E$93*'2. Hypothèses'!$K$93*(1-'2. Hypothèses'!$L$93)*p_s*p_ts*p_ch+'2. Hypothèses'!$E$93*'2. Hypothèses'!$K$93*'2. Hypothèses'!$M$93+'2. Hypothèses'!$E$93*'2. Hypothèses'!$K$93*p_sauto*p_cjuge+'2. Hypothèses'!$N$93+'2. Hypothèses'!$O$93+('2. Hypothèses'!$P$93+'2. Hypothèses'!$Q$93)*p_Cetp+p_lam*p_Cinc</f>
        <v>1032555</v>
      </c>
      <c r="N37" s="139" t="n">
        <f aca="false">'2. Hypothèses'!$N$93+'2. Hypothèses'!$O$93+('2. Hypothèses'!$P$93+'2. Hypothèses'!$Q$93)*p_Cetp*SUMPRODUCT($D$10:$H$10,$D$7:$H$7)</f>
        <v>587633.35837716</v>
      </c>
      <c r="O37" s="144" t="n">
        <f aca="false">RANK(J37,$J$28:$J$37,0)+COUNTIF($J$28:J37,J37)-1</f>
        <v>3</v>
      </c>
      <c r="P37" s="144" t="n">
        <f aca="false">RANK(Q37,$Q$28:$Q$37,1)+COUNTIF($Q$28:Q37,Q37)-1</f>
        <v>6</v>
      </c>
      <c r="Q37" s="129" t="n">
        <f aca="false">IF(SUM(N24:R24)=0,99,MATCH(1,N24:R24,0))</f>
        <v>1</v>
      </c>
    </row>
    <row r="39" customFormat="false" ht="18.75" hidden="false" customHeight="true" outlineLevel="0" collapsed="false">
      <c r="A39" s="4" t="s">
        <v>798</v>
      </c>
      <c r="B39" s="4"/>
      <c r="C39" s="4"/>
      <c r="D39" s="4"/>
      <c r="E39" s="4"/>
      <c r="F39" s="4"/>
      <c r="G39" s="4"/>
      <c r="H39" s="4"/>
      <c r="I39" s="4"/>
      <c r="J39" s="4"/>
      <c r="K39" s="4"/>
      <c r="L39" s="4"/>
      <c r="M39" s="4"/>
      <c r="N39" s="4"/>
      <c r="O39" s="4"/>
      <c r="P39" s="4"/>
      <c r="Q39" s="4"/>
    </row>
    <row r="40" customFormat="false" ht="18" hidden="false" customHeight="true" outlineLevel="0" collapsed="false">
      <c r="A40" s="145" t="s">
        <v>799</v>
      </c>
      <c r="B40" s="145"/>
      <c r="C40" s="145"/>
      <c r="D40" s="145"/>
      <c r="E40" s="57" t="n">
        <f aca="false">SUM(I28:I37)</f>
        <v>3804434.65411227</v>
      </c>
      <c r="F40" s="122" t="s">
        <v>800</v>
      </c>
      <c r="G40" s="122"/>
      <c r="H40" s="122"/>
      <c r="I40" s="122"/>
      <c r="J40" s="122"/>
      <c r="K40" s="122"/>
      <c r="L40" s="122"/>
      <c r="M40" s="122"/>
      <c r="N40" s="122"/>
      <c r="O40" s="122"/>
      <c r="P40" s="122"/>
      <c r="Q40" s="122"/>
    </row>
    <row r="41" customFormat="false" ht="18" hidden="false" customHeight="true" outlineLevel="0" collapsed="false">
      <c r="A41" s="145" t="s">
        <v>801</v>
      </c>
      <c r="B41" s="145"/>
      <c r="C41" s="145"/>
      <c r="D41" s="145"/>
      <c r="E41" s="57" t="n">
        <f aca="false">SUM(N28:N37)</f>
        <v>8193050.33809166</v>
      </c>
      <c r="F41" s="122" t="s">
        <v>802</v>
      </c>
      <c r="G41" s="122"/>
      <c r="H41" s="122"/>
      <c r="I41" s="122"/>
      <c r="J41" s="122"/>
      <c r="K41" s="122"/>
      <c r="L41" s="122"/>
      <c r="M41" s="122"/>
      <c r="N41" s="122"/>
      <c r="O41" s="122"/>
      <c r="P41" s="122"/>
      <c r="Q41" s="122"/>
    </row>
    <row r="42" customFormat="false" ht="18" hidden="false" customHeight="true" outlineLevel="0" collapsed="false">
      <c r="A42" s="146" t="s">
        <v>803</v>
      </c>
      <c r="B42" s="146"/>
      <c r="C42" s="146"/>
      <c r="D42" s="146"/>
      <c r="E42" s="95" t="n">
        <f aca="false">IF($E$41=0,"",$E$40/$E$41)</f>
        <v>0.464348990561482</v>
      </c>
      <c r="F42" s="122" t="s">
        <v>804</v>
      </c>
      <c r="G42" s="122"/>
      <c r="H42" s="122"/>
      <c r="I42" s="122"/>
      <c r="J42" s="122"/>
      <c r="K42" s="122"/>
      <c r="L42" s="122"/>
      <c r="M42" s="122"/>
      <c r="N42" s="122"/>
      <c r="O42" s="122"/>
      <c r="P42" s="122"/>
      <c r="Q42" s="122"/>
    </row>
    <row r="43" customFormat="false" ht="18" hidden="false" customHeight="true" outlineLevel="0" collapsed="false">
      <c r="A43" s="145" t="s">
        <v>805</v>
      </c>
      <c r="B43" s="145"/>
      <c r="C43" s="145"/>
      <c r="D43" s="145"/>
      <c r="E43" s="57" t="n">
        <f aca="false">SUM(M28:M37)</f>
        <v>14429953.725</v>
      </c>
      <c r="F43" s="122" t="s">
        <v>806</v>
      </c>
      <c r="G43" s="122"/>
      <c r="H43" s="122"/>
      <c r="I43" s="122"/>
      <c r="J43" s="122"/>
      <c r="K43" s="122"/>
      <c r="L43" s="122"/>
      <c r="M43" s="122"/>
      <c r="N43" s="122"/>
      <c r="O43" s="122"/>
      <c r="P43" s="122"/>
      <c r="Q43" s="122"/>
    </row>
    <row r="44" customFormat="false" ht="18" hidden="false" customHeight="true" outlineLevel="0" collapsed="false">
      <c r="A44" s="145" t="s">
        <v>807</v>
      </c>
      <c r="B44" s="145"/>
      <c r="C44" s="145"/>
      <c r="D44" s="145"/>
      <c r="E44" s="147" t="n">
        <f aca="false">SUM(L28:L37)</f>
        <v>127.316512134412</v>
      </c>
      <c r="F44" s="122" t="s">
        <v>808</v>
      </c>
      <c r="G44" s="122"/>
      <c r="H44" s="122"/>
      <c r="I44" s="122"/>
      <c r="J44" s="122"/>
      <c r="K44" s="122"/>
      <c r="L44" s="122"/>
      <c r="M44" s="122"/>
      <c r="N44" s="122"/>
      <c r="O44" s="122"/>
      <c r="P44" s="122"/>
      <c r="Q44" s="122"/>
    </row>
    <row r="45" customFormat="false" ht="18" hidden="false" customHeight="true" outlineLevel="0" collapsed="false">
      <c r="A45" s="145" t="s">
        <v>809</v>
      </c>
      <c r="B45" s="145"/>
      <c r="C45" s="145"/>
      <c r="D45" s="145"/>
      <c r="E45" s="53" t="n">
        <f aca="false">COUNTIF(I28:I37,"&lt;0")</f>
        <v>2</v>
      </c>
      <c r="F45" s="122" t="s">
        <v>810</v>
      </c>
      <c r="G45" s="122"/>
      <c r="H45" s="122"/>
      <c r="I45" s="122"/>
      <c r="J45" s="122"/>
      <c r="K45" s="122"/>
      <c r="L45" s="122"/>
      <c r="M45" s="122"/>
      <c r="N45" s="122"/>
      <c r="O45" s="122"/>
      <c r="P45" s="122"/>
      <c r="Q45" s="122"/>
    </row>
    <row r="46" customFormat="false" ht="18" hidden="false" customHeight="true" outlineLevel="0" collapsed="false">
      <c r="A46" s="145" t="s">
        <v>811</v>
      </c>
      <c r="B46" s="145"/>
      <c r="C46" s="145"/>
      <c r="D46" s="145"/>
      <c r="E46" s="53" t="n">
        <f aca="false">COUNTIF(J28:J37,"&gt;="&amp;p_ROIcible)</f>
        <v>3</v>
      </c>
      <c r="F46" s="122" t="s">
        <v>614</v>
      </c>
      <c r="G46" s="122"/>
      <c r="H46" s="122"/>
      <c r="I46" s="122"/>
      <c r="J46" s="122"/>
      <c r="K46" s="122"/>
      <c r="L46" s="122"/>
      <c r="M46" s="122"/>
      <c r="N46" s="122"/>
      <c r="O46" s="122"/>
      <c r="P46" s="122"/>
      <c r="Q46" s="122"/>
    </row>
    <row r="48" customFormat="false" ht="18.75" hidden="false" customHeight="true" outlineLevel="0" collapsed="false">
      <c r="A48" s="4" t="s">
        <v>812</v>
      </c>
      <c r="B48" s="4"/>
      <c r="C48" s="4"/>
      <c r="D48" s="4"/>
      <c r="E48" s="4"/>
      <c r="F48" s="4"/>
      <c r="G48" s="4"/>
      <c r="H48" s="4"/>
      <c r="I48" s="4"/>
      <c r="J48" s="4"/>
      <c r="K48" s="4"/>
      <c r="L48" s="4"/>
      <c r="M48" s="4"/>
      <c r="N48" s="4"/>
      <c r="O48" s="4"/>
      <c r="P48" s="4"/>
      <c r="Q48" s="4"/>
    </row>
    <row r="49" customFormat="false" ht="30" hidden="false" customHeight="true" outlineLevel="0" collapsed="false">
      <c r="A49" s="8" t="s">
        <v>787</v>
      </c>
      <c r="B49" s="8" t="s">
        <v>350</v>
      </c>
      <c r="C49" s="8" t="s">
        <v>349</v>
      </c>
      <c r="D49" s="8" t="s">
        <v>748</v>
      </c>
      <c r="E49" s="8" t="s">
        <v>746</v>
      </c>
      <c r="F49" s="8" t="s">
        <v>813</v>
      </c>
      <c r="G49" s="8" t="s">
        <v>814</v>
      </c>
      <c r="H49" s="8" t="s">
        <v>815</v>
      </c>
      <c r="I49" s="8" t="s">
        <v>816</v>
      </c>
      <c r="J49" s="8" t="s">
        <v>611</v>
      </c>
      <c r="K49" s="8" t="s">
        <v>817</v>
      </c>
      <c r="L49" s="8" t="s">
        <v>818</v>
      </c>
      <c r="M49" s="8" t="s">
        <v>819</v>
      </c>
      <c r="N49" s="8"/>
      <c r="O49" s="8"/>
      <c r="P49" s="8"/>
      <c r="Q49" s="8"/>
    </row>
    <row r="50" customFormat="false" ht="24" hidden="false" customHeight="true" outlineLevel="0" collapsed="false">
      <c r="A50" s="53" t="n">
        <f aca="false">ROW()-ROW($A$49)</f>
        <v>1</v>
      </c>
      <c r="B50" s="134" t="str">
        <f aca="false">INDEX($B$28:$B$37,MATCH($A50,$O$28:$O$37,0))</f>
        <v>BD-01</v>
      </c>
      <c r="C50" s="135" t="str">
        <f aca="false">INDEX($C$28:$C$37,MATCH($A50,$O$28:$O$37,0))</f>
        <v>Service client conversationnel niveau 1</v>
      </c>
      <c r="D50" s="148" t="n">
        <f aca="false">INDEX($J$28:$J$37,MATCH($A50,$O$28:$O$37,0))</f>
        <v>1.74481815164165</v>
      </c>
      <c r="E50" s="139" t="n">
        <f aca="false">INDEX($I$28:$I$37,MATCH($A50,$O$28:$O$37,0))</f>
        <v>1537970.02530992</v>
      </c>
      <c r="F50" s="139" t="n">
        <f aca="false">E50</f>
        <v>1537970.02530992</v>
      </c>
      <c r="G50" s="139" t="n">
        <f aca="false">INDEX($N$28:$N$37,MATCH($A50,$O$28:$O$37,0))</f>
        <v>881450.03756574</v>
      </c>
      <c r="H50" s="141" t="n">
        <f aca="false">IF(G50=0,"",F50/G50)</f>
        <v>1.74481815164165</v>
      </c>
      <c r="I50" s="139" t="n">
        <f aca="false">INDEX($M$28:$M$37,MATCH($A50,$O$28:$O$37,0))</f>
        <v>2381508</v>
      </c>
      <c r="J50" s="142" t="n">
        <f aca="false">INDEX($K$28:$K$37,MATCH($A50,$O$28:$O$37,0))</f>
        <v>1</v>
      </c>
      <c r="K50" s="129" t="n">
        <f aca="false">IF(E50&lt;=0,1,0)</f>
        <v>0</v>
      </c>
      <c r="L50" s="129" t="n">
        <f aca="false">IF(H50&lt;p_ROIcible,1,0)</f>
        <v>0</v>
      </c>
      <c r="M50" s="129" t="n">
        <f aca="false">IF(I50&gt;p_Bmax,1,0)</f>
        <v>0</v>
      </c>
      <c r="N50" s="52"/>
      <c r="O50" s="52"/>
      <c r="P50" s="52"/>
      <c r="Q50" s="52"/>
    </row>
    <row r="51" customFormat="false" ht="24" hidden="false" customHeight="true" outlineLevel="0" collapsed="false">
      <c r="A51" s="53" t="n">
        <f aca="false">ROW()-ROW($A$49)</f>
        <v>2</v>
      </c>
      <c r="B51" s="134" t="str">
        <f aca="false">INDEX($B$28:$B$37,MATCH($A51,$O$28:$O$37,0))</f>
        <v>FT-01</v>
      </c>
      <c r="C51" s="135" t="str">
        <f aca="false">INDEX($C$28:$C$37,MATCH($A51,$O$28:$O$37,0))</f>
        <v>Investigation LCB-FT</v>
      </c>
      <c r="D51" s="148" t="n">
        <f aca="false">INDEX($J$28:$J$37,MATCH($A51,$O$28:$O$37,0))</f>
        <v>1.19174834837753</v>
      </c>
      <c r="E51" s="139" t="n">
        <f aca="false">INDEX($I$28:$I$37,MATCH($A51,$O$28:$O$37,0))</f>
        <v>1050466.62644628</v>
      </c>
      <c r="F51" s="139" t="n">
        <f aca="false">F50+E51</f>
        <v>2588436.6517562</v>
      </c>
      <c r="G51" s="139" t="n">
        <f aca="false">G50+INDEX($N$28:$N$37,MATCH($A51,$O$28:$O$37,0))</f>
        <v>1762900.07513148</v>
      </c>
      <c r="H51" s="141" t="n">
        <f aca="false">IF(G51=0,"",F51/G51)</f>
        <v>1.46828325000959</v>
      </c>
      <c r="I51" s="139" t="n">
        <f aca="false">I50+INDEX($M$28:$M$37,MATCH($A51,$O$28:$O$37,0))</f>
        <v>4205949.6</v>
      </c>
      <c r="J51" s="142" t="n">
        <f aca="false">INDEX($K$28:$K$37,MATCH($A51,$O$28:$O$37,0))</f>
        <v>1</v>
      </c>
      <c r="K51" s="129" t="n">
        <f aca="false">IF(E51&lt;=0,1,0)</f>
        <v>0</v>
      </c>
      <c r="L51" s="129" t="n">
        <f aca="false">IF(H51&lt;p_ROIcible,1,0)</f>
        <v>0</v>
      </c>
      <c r="M51" s="129" t="n">
        <f aca="false">IF(I51&gt;p_Bmax,1,0)</f>
        <v>0</v>
      </c>
      <c r="N51" s="52"/>
      <c r="O51" s="52"/>
      <c r="P51" s="52"/>
      <c r="Q51" s="52"/>
    </row>
    <row r="52" customFormat="false" ht="24" hidden="false" customHeight="true" outlineLevel="0" collapsed="false">
      <c r="A52" s="53" t="n">
        <f aca="false">ROW()-ROW($A$49)</f>
        <v>3</v>
      </c>
      <c r="B52" s="134" t="str">
        <f aca="false">INDEX($B$28:$B$37,MATCH($A52,$O$28:$O$37,0))</f>
        <v>BD-18</v>
      </c>
      <c r="C52" s="135" t="str">
        <f aca="false">INDEX($C$28:$C$37,MATCH($A52,$O$28:$O$37,0))</f>
        <v>Traitement des courriers et pièces entrantes</v>
      </c>
      <c r="D52" s="148" t="n">
        <f aca="false">INDEX($J$28:$J$37,MATCH($A52,$O$28:$O$37,0))</f>
        <v>1.04877406698289</v>
      </c>
      <c r="E52" s="139" t="n">
        <f aca="false">INDEX($I$28:$I$37,MATCH($A52,$O$28:$O$37,0))</f>
        <v>616294.62716003</v>
      </c>
      <c r="F52" s="139" t="n">
        <f aca="false">F51+E52</f>
        <v>3204731.27891623</v>
      </c>
      <c r="G52" s="139" t="n">
        <f aca="false">G51+INDEX($N$28:$N$37,MATCH($A52,$O$28:$O$37,0))</f>
        <v>2350533.43350864</v>
      </c>
      <c r="H52" s="141" t="n">
        <f aca="false">IF(G52=0,"",F52/G52)</f>
        <v>1.36340595425292</v>
      </c>
      <c r="I52" s="139" t="n">
        <f aca="false">I51+INDEX($M$28:$M$37,MATCH($A52,$O$28:$O$37,0))</f>
        <v>5238504.6</v>
      </c>
      <c r="J52" s="142" t="n">
        <f aca="false">INDEX($K$28:$K$37,MATCH($A52,$O$28:$O$37,0))</f>
        <v>1</v>
      </c>
      <c r="K52" s="129" t="n">
        <f aca="false">IF(E52&lt;=0,1,0)</f>
        <v>0</v>
      </c>
      <c r="L52" s="129" t="n">
        <f aca="false">IF(H52&lt;p_ROIcible,1,0)</f>
        <v>0</v>
      </c>
      <c r="M52" s="129" t="n">
        <f aca="false">IF(I52&gt;p_Bmax,1,0)</f>
        <v>0</v>
      </c>
      <c r="N52" s="52"/>
      <c r="O52" s="52"/>
      <c r="P52" s="52"/>
      <c r="Q52" s="52"/>
    </row>
    <row r="53" customFormat="false" ht="24" hidden="false" customHeight="true" outlineLevel="0" collapsed="false">
      <c r="A53" s="53" t="n">
        <f aca="false">ROW()-ROW($A$49)</f>
        <v>4</v>
      </c>
      <c r="B53" s="134" t="str">
        <f aca="false">INDEX($B$28:$B$37,MATCH($A53,$O$28:$O$37,0))</f>
        <v>MC-04</v>
      </c>
      <c r="C53" s="135" t="str">
        <f aca="false">INDEX($C$28:$C$37,MATCH($A53,$O$28:$O$37,0))</f>
        <v>Post-marché, réconciliation et suspens</v>
      </c>
      <c r="D53" s="148" t="n">
        <f aca="false">INDEX($J$28:$J$37,MATCH($A53,$O$28:$O$37,0))</f>
        <v>0.798167815037703</v>
      </c>
      <c r="E53" s="139" t="n">
        <f aca="false">INDEX($I$28:$I$37,MATCH($A53,$O$28:$O$37,0))</f>
        <v>516920.102601427</v>
      </c>
      <c r="F53" s="139" t="n">
        <f aca="false">F52+E53</f>
        <v>3721651.38151766</v>
      </c>
      <c r="G53" s="139" t="n">
        <f aca="false">G52+INDEX($N$28:$N$37,MATCH($A53,$O$28:$O$37,0))</f>
        <v>2998166.7918858</v>
      </c>
      <c r="H53" s="141" t="n">
        <f aca="false">IF(G53=0,"",F53/G53)</f>
        <v>1.24130898640792</v>
      </c>
      <c r="I53" s="139" t="n">
        <f aca="false">I52+INDEX($M$28:$M$37,MATCH($A53,$O$28:$O$37,0))</f>
        <v>6489247.1</v>
      </c>
      <c r="J53" s="142" t="n">
        <f aca="false">INDEX($K$28:$K$37,MATCH($A53,$O$28:$O$37,0))</f>
        <v>1</v>
      </c>
      <c r="K53" s="129" t="n">
        <f aca="false">IF(E53&lt;=0,1,0)</f>
        <v>0</v>
      </c>
      <c r="L53" s="129" t="n">
        <f aca="false">IF(H53&lt;p_ROIcible,1,0)</f>
        <v>0</v>
      </c>
      <c r="M53" s="129" t="n">
        <f aca="false">IF(I53&gt;p_Bmax,1,0)</f>
        <v>1</v>
      </c>
      <c r="N53" s="52"/>
      <c r="O53" s="52"/>
      <c r="P53" s="52"/>
      <c r="Q53" s="52"/>
    </row>
    <row r="54" customFormat="false" ht="24" hidden="false" customHeight="true" outlineLevel="0" collapsed="false">
      <c r="A54" s="53" t="n">
        <f aca="false">ROW()-ROW($A$49)</f>
        <v>5</v>
      </c>
      <c r="B54" s="134" t="str">
        <f aca="false">INDEX($B$28:$B$37,MATCH($A54,$O$28:$O$37,0))</f>
        <v>FT-02</v>
      </c>
      <c r="C54" s="135" t="str">
        <f aca="false">INDEX($C$28:$C$37,MATCH($A54,$O$28:$O$37,0))</f>
        <v>Revue de presse négative et criblage nominatif</v>
      </c>
      <c r="D54" s="148" t="n">
        <f aca="false">INDEX($J$28:$J$37,MATCH($A54,$O$28:$O$37,0))</f>
        <v>0.412442288696585</v>
      </c>
      <c r="E54" s="139" t="n">
        <f aca="false">INDEX($I$28:$I$37,MATCH($A54,$O$28:$O$37,0))</f>
        <v>250613.693017468</v>
      </c>
      <c r="F54" s="139" t="n">
        <f aca="false">F53+E54</f>
        <v>3972265.07453512</v>
      </c>
      <c r="G54" s="139" t="n">
        <f aca="false">G53+INDEX($N$28:$N$37,MATCH($A54,$O$28:$O$37,0))</f>
        <v>3605800.15026296</v>
      </c>
      <c r="H54" s="141" t="n">
        <f aca="false">IF(G54=0,"",F54/G54)</f>
        <v>1.10163206750253</v>
      </c>
      <c r="I54" s="139" t="n">
        <f aca="false">I53+INDEX($M$28:$M$37,MATCH($A54,$O$28:$O$37,0))</f>
        <v>7569599.85</v>
      </c>
      <c r="J54" s="142" t="n">
        <f aca="false">INDEX($K$28:$K$37,MATCH($A54,$O$28:$O$37,0))</f>
        <v>1</v>
      </c>
      <c r="K54" s="129" t="n">
        <f aca="false">IF(E54&lt;=0,1,0)</f>
        <v>0</v>
      </c>
      <c r="L54" s="129" t="n">
        <f aca="false">IF(H54&lt;p_ROIcible,1,0)</f>
        <v>0</v>
      </c>
      <c r="M54" s="129" t="n">
        <f aca="false">IF(I54&gt;p_Bmax,1,0)</f>
        <v>1</v>
      </c>
      <c r="N54" s="52"/>
      <c r="O54" s="52"/>
      <c r="P54" s="52"/>
      <c r="Q54" s="52"/>
    </row>
    <row r="55" customFormat="false" ht="24" hidden="false" customHeight="true" outlineLevel="0" collapsed="false">
      <c r="A55" s="53" t="n">
        <f aca="false">ROW()-ROW($A$49)</f>
        <v>6</v>
      </c>
      <c r="B55" s="134" t="str">
        <f aca="false">INDEX($B$28:$B$37,MATCH($A55,$O$28:$O$37,0))</f>
        <v>AS-04</v>
      </c>
      <c r="C55" s="135" t="str">
        <f aca="false">INDEX($C$28:$C$37,MATCH($A55,$O$28:$O$37,0))</f>
        <v>Prise de déclaration de sinistre, canal vocal</v>
      </c>
      <c r="D55" s="148" t="n">
        <f aca="false">INDEX($J$28:$J$37,MATCH($A55,$O$28:$O$37,0))</f>
        <v>0.341559094092707</v>
      </c>
      <c r="E55" s="139" t="n">
        <f aca="false">INDEX($I$28:$I$37,MATCH($A55,$O$28:$O$37,0))</f>
        <v>314729.640082645</v>
      </c>
      <c r="F55" s="139" t="n">
        <f aca="false">F54+E55</f>
        <v>4286994.71461777</v>
      </c>
      <c r="G55" s="139" t="n">
        <f aca="false">G54+INDEX($N$28:$N$37,MATCH($A55,$O$28:$O$37,0))</f>
        <v>4527250.1878287</v>
      </c>
      <c r="H55" s="141" t="n">
        <f aca="false">IF(G55=0,"",F55/G55)</f>
        <v>0.946931257773903</v>
      </c>
      <c r="I55" s="139" t="n">
        <f aca="false">I54+INDEX($M$28:$M$37,MATCH($A55,$O$28:$O$37,0))</f>
        <v>9174912.25</v>
      </c>
      <c r="J55" s="142" t="n">
        <f aca="false">INDEX($K$28:$K$37,MATCH($A55,$O$28:$O$37,0))</f>
        <v>1</v>
      </c>
      <c r="K55" s="129" t="n">
        <f aca="false">IF(E55&lt;=0,1,0)</f>
        <v>0</v>
      </c>
      <c r="L55" s="129" t="n">
        <f aca="false">IF(H55&lt;p_ROIcible,1,0)</f>
        <v>1</v>
      </c>
      <c r="M55" s="129" t="n">
        <f aca="false">IF(I55&gt;p_Bmax,1,0)</f>
        <v>1</v>
      </c>
      <c r="N55" s="52"/>
      <c r="O55" s="52"/>
      <c r="P55" s="52"/>
      <c r="Q55" s="52"/>
    </row>
    <row r="56" customFormat="false" ht="24" hidden="false" customHeight="true" outlineLevel="0" collapsed="false">
      <c r="A56" s="53" t="n">
        <f aca="false">ROW()-ROW($A$49)</f>
        <v>7</v>
      </c>
      <c r="B56" s="134" t="str">
        <f aca="false">INDEX($B$28:$B$37,MATCH($A56,$O$28:$O$37,0))</f>
        <v>PA-06</v>
      </c>
      <c r="C56" s="135" t="str">
        <f aca="false">INDEX($C$28:$C$37,MATCH($A56,$O$28:$O$37,0))</f>
        <v>Investigations et exceptions de paiement</v>
      </c>
      <c r="D56" s="148" t="n">
        <f aca="false">INDEX($J$28:$J$37,MATCH($A56,$O$28:$O$37,0))</f>
        <v>0.0967339281137386</v>
      </c>
      <c r="E56" s="139" t="n">
        <f aca="false">INDEX($I$28:$I$37,MATCH($A56,$O$28:$O$37,0))</f>
        <v>78049.2357179752</v>
      </c>
      <c r="F56" s="139" t="n">
        <f aca="false">F55+E56</f>
        <v>4365043.95033574</v>
      </c>
      <c r="G56" s="139" t="n">
        <f aca="false">G55+INDEX($N$28:$N$37,MATCH($A56,$O$28:$O$37,0))</f>
        <v>5334094.66566491</v>
      </c>
      <c r="H56" s="141" t="n">
        <f aca="false">IF(G56=0,"",F56/G56)</f>
        <v>0.818328924387701</v>
      </c>
      <c r="I56" s="139" t="n">
        <f aca="false">I55+INDEX($M$28:$M$37,MATCH($A56,$O$28:$O$37,0))</f>
        <v>10421263.45</v>
      </c>
      <c r="J56" s="142" t="n">
        <f aca="false">INDEX($K$28:$K$37,MATCH($A56,$O$28:$O$37,0))</f>
        <v>2</v>
      </c>
      <c r="K56" s="129" t="n">
        <f aca="false">IF(E56&lt;=0,1,0)</f>
        <v>0</v>
      </c>
      <c r="L56" s="129" t="n">
        <f aca="false">IF(H56&lt;p_ROIcible,1,0)</f>
        <v>1</v>
      </c>
      <c r="M56" s="129" t="n">
        <f aca="false">IF(I56&gt;p_Bmax,1,0)</f>
        <v>1</v>
      </c>
      <c r="N56" s="52"/>
      <c r="O56" s="52"/>
      <c r="P56" s="52"/>
      <c r="Q56" s="52"/>
    </row>
    <row r="57" customFormat="false" ht="24" hidden="false" customHeight="true" outlineLevel="0" collapsed="false">
      <c r="A57" s="53" t="n">
        <f aca="false">ROW()-ROW($A$49)</f>
        <v>8</v>
      </c>
      <c r="B57" s="134" t="str">
        <f aca="false">INDEX($B$28:$B$37,MATCH($A57,$O$28:$O$37,0))</f>
        <v>BD-04</v>
      </c>
      <c r="C57" s="135" t="str">
        <f aca="false">INDEX($C$28:$C$37,MATCH($A57,$O$28:$O$37,0))</f>
        <v>Entrée en relation et KYC particuliers</v>
      </c>
      <c r="D57" s="148" t="n">
        <f aca="false">INDEX($J$28:$J$37,MATCH($A57,$O$28:$O$37,0))</f>
        <v>0.0934740827657742</v>
      </c>
      <c r="E57" s="139" t="n">
        <f aca="false">INDEX($I$28:$I$37,MATCH($A57,$O$28:$O$37,0))</f>
        <v>95909.6058238636</v>
      </c>
      <c r="F57" s="139" t="n">
        <f aca="false">F56+E57</f>
        <v>4460953.55615961</v>
      </c>
      <c r="G57" s="139" t="n">
        <f aca="false">G56+INDEX($N$28:$N$37,MATCH($A57,$O$28:$O$37,0))</f>
        <v>6360150.26296018</v>
      </c>
      <c r="H57" s="141" t="n">
        <f aca="false">IF(G57=0,"",F57/G57)</f>
        <v>0.701391220603546</v>
      </c>
      <c r="I57" s="139" t="n">
        <f aca="false">I56+INDEX($M$28:$M$37,MATCH($A57,$O$28:$O$37,0))</f>
        <v>12121525.325</v>
      </c>
      <c r="J57" s="142" t="n">
        <f aca="false">INDEX($K$28:$K$37,MATCH($A57,$O$28:$O$37,0))</f>
        <v>2</v>
      </c>
      <c r="K57" s="129" t="n">
        <f aca="false">IF(E57&lt;=0,1,0)</f>
        <v>0</v>
      </c>
      <c r="L57" s="129" t="n">
        <f aca="false">IF(H57&lt;p_ROIcible,1,0)</f>
        <v>1</v>
      </c>
      <c r="M57" s="129" t="n">
        <f aca="false">IF(I57&gt;p_Bmax,1,0)</f>
        <v>1</v>
      </c>
      <c r="N57" s="52"/>
      <c r="O57" s="52"/>
      <c r="P57" s="52"/>
      <c r="Q57" s="52"/>
    </row>
    <row r="58" customFormat="false" ht="24" hidden="false" customHeight="true" outlineLevel="0" collapsed="false">
      <c r="A58" s="53" t="n">
        <f aca="false">ROW()-ROW($A$49)</f>
        <v>9</v>
      </c>
      <c r="B58" s="134" t="str">
        <f aca="false">INDEX($B$28:$B$37,MATCH($A58,$O$28:$O$37,0))</f>
        <v>BFI-06</v>
      </c>
      <c r="C58" s="135" t="str">
        <f aca="false">INDEX($C$28:$C$37,MATCH($A58,$O$28:$O$37,0))</f>
        <v>KYC entreprises et revue périodique</v>
      </c>
      <c r="D58" s="148" t="n">
        <f aca="false">INDEX($J$28:$J$37,MATCH($A58,$O$28:$O$37,0))</f>
        <v>-0.190041539173708</v>
      </c>
      <c r="E58" s="139" t="n">
        <f aca="false">INDEX($I$28:$I$37,MATCH($A58,$O$28:$O$37,0))</f>
        <v>-194993.184987791</v>
      </c>
      <c r="F58" s="139" t="n">
        <f aca="false">F57+E58</f>
        <v>4265960.37117182</v>
      </c>
      <c r="G58" s="139" t="n">
        <f aca="false">G57+INDEX($N$28:$N$37,MATCH($A58,$O$28:$O$37,0))</f>
        <v>7386205.86025545</v>
      </c>
      <c r="H58" s="141" t="n">
        <f aca="false">IF(G58=0,"",F58/G58)</f>
        <v>0.577557740994817</v>
      </c>
      <c r="I58" s="139" t="n">
        <f aca="false">I57+INDEX($M$28:$M$37,MATCH($A58,$O$28:$O$37,0))</f>
        <v>13520136.825</v>
      </c>
      <c r="J58" s="142" t="str">
        <f aca="false">INDEX($K$28:$K$37,MATCH($A58,$O$28:$O$37,0))</f>
        <v>Aucun retour sur l’horizon</v>
      </c>
      <c r="K58" s="129" t="n">
        <f aca="false">IF(E58&lt;=0,1,0)</f>
        <v>1</v>
      </c>
      <c r="L58" s="129" t="n">
        <f aca="false">IF(H58&lt;p_ROIcible,1,0)</f>
        <v>1</v>
      </c>
      <c r="M58" s="129" t="n">
        <f aca="false">IF(I58&gt;p_Bmax,1,0)</f>
        <v>1</v>
      </c>
      <c r="N58" s="52"/>
      <c r="O58" s="52"/>
      <c r="P58" s="52"/>
      <c r="Q58" s="52"/>
    </row>
    <row r="59" customFormat="false" ht="24" hidden="false" customHeight="true" outlineLevel="0" collapsed="false">
      <c r="A59" s="53" t="n">
        <f aca="false">ROW()-ROW($A$49)</f>
        <v>10</v>
      </c>
      <c r="B59" s="134" t="str">
        <f aca="false">INDEX($B$28:$B$37,MATCH($A59,$O$28:$O$37,0))</f>
        <v>FT-06</v>
      </c>
      <c r="C59" s="135" t="str">
        <f aca="false">INDEX($C$28:$C$37,MATCH($A59,$O$28:$O$37,0))</f>
        <v>Audit interne, planification et collecte de preuve</v>
      </c>
      <c r="D59" s="148" t="n">
        <f aca="false">INDEX($J$28:$J$37,MATCH($A59,$O$28:$O$37,0))</f>
        <v>-0.572013231468419</v>
      </c>
      <c r="E59" s="139" t="n">
        <f aca="false">INDEX($I$28:$I$37,MATCH($A59,$O$28:$O$37,0))</f>
        <v>-461525.717059542</v>
      </c>
      <c r="F59" s="139" t="n">
        <f aca="false">F58+E59</f>
        <v>3804434.65411227</v>
      </c>
      <c r="G59" s="139" t="n">
        <f aca="false">G58+INDEX($N$28:$N$37,MATCH($A59,$O$28:$O$37,0))</f>
        <v>8193050.33809166</v>
      </c>
      <c r="H59" s="141" t="n">
        <f aca="false">IF(G59=0,"",F59/G59)</f>
        <v>0.464348990561482</v>
      </c>
      <c r="I59" s="139" t="n">
        <f aca="false">I58+INDEX($M$28:$M$37,MATCH($A59,$O$28:$O$37,0))</f>
        <v>14429953.725</v>
      </c>
      <c r="J59" s="142" t="str">
        <f aca="false">INDEX($K$28:$K$37,MATCH($A59,$O$28:$O$37,0))</f>
        <v>Aucun retour sur l’horizon</v>
      </c>
      <c r="K59" s="129" t="n">
        <f aca="false">IF(E59&lt;=0,1,0)</f>
        <v>1</v>
      </c>
      <c r="L59" s="129" t="n">
        <f aca="false">IF(H59&lt;p_ROIcible,1,0)</f>
        <v>1</v>
      </c>
      <c r="M59" s="129" t="n">
        <f aca="false">IF(I59&gt;p_Bmax,1,0)</f>
        <v>1</v>
      </c>
      <c r="N59" s="52"/>
      <c r="O59" s="52"/>
      <c r="P59" s="52"/>
      <c r="Q59" s="52"/>
    </row>
    <row r="61" customFormat="false" ht="18.75" hidden="false" customHeight="true" outlineLevel="0" collapsed="false">
      <c r="A61" s="4" t="s">
        <v>820</v>
      </c>
      <c r="B61" s="4"/>
      <c r="C61" s="4"/>
      <c r="D61" s="4"/>
      <c r="E61" s="4"/>
      <c r="F61" s="4"/>
      <c r="G61" s="4"/>
      <c r="H61" s="4"/>
      <c r="I61" s="4"/>
      <c r="J61" s="4"/>
      <c r="K61" s="4"/>
      <c r="L61" s="4"/>
      <c r="M61" s="4"/>
      <c r="N61" s="4"/>
      <c r="O61" s="4"/>
      <c r="P61" s="4"/>
      <c r="Q61" s="4"/>
    </row>
    <row r="62" customFormat="false" ht="18" hidden="false" customHeight="true" outlineLevel="0" collapsed="false">
      <c r="A62" s="145" t="s">
        <v>821</v>
      </c>
      <c r="B62" s="145"/>
      <c r="C62" s="145"/>
      <c r="D62" s="145"/>
      <c r="E62" s="53" t="n">
        <f aca="false">IF(SUM(K50:K59)=0,99,MATCH(1,K50:K59,0))</f>
        <v>9</v>
      </c>
      <c r="F62" s="122" t="s">
        <v>822</v>
      </c>
      <c r="G62" s="122"/>
      <c r="H62" s="122"/>
      <c r="I62" s="122"/>
      <c r="J62" s="122"/>
      <c r="K62" s="122"/>
      <c r="L62" s="122"/>
      <c r="M62" s="122"/>
      <c r="N62" s="122"/>
      <c r="O62" s="122"/>
      <c r="P62" s="122"/>
      <c r="Q62" s="122"/>
    </row>
    <row r="63" customFormat="false" ht="18" hidden="false" customHeight="true" outlineLevel="0" collapsed="false">
      <c r="A63" s="145" t="s">
        <v>823</v>
      </c>
      <c r="B63" s="145"/>
      <c r="C63" s="145"/>
      <c r="D63" s="145"/>
      <c r="E63" s="53" t="n">
        <f aca="false">IF(SUM(L50:L59)=0,99,MATCH(1,L50:L59,0))</f>
        <v>6</v>
      </c>
      <c r="F63" s="122" t="s">
        <v>824</v>
      </c>
      <c r="G63" s="122"/>
      <c r="H63" s="122"/>
      <c r="I63" s="122"/>
      <c r="J63" s="122"/>
      <c r="K63" s="122"/>
      <c r="L63" s="122"/>
      <c r="M63" s="122"/>
      <c r="N63" s="122"/>
      <c r="O63" s="122"/>
      <c r="P63" s="122"/>
      <c r="Q63" s="122"/>
    </row>
    <row r="64" customFormat="false" ht="18" hidden="false" customHeight="true" outlineLevel="0" collapsed="false">
      <c r="A64" s="145" t="s">
        <v>825</v>
      </c>
      <c r="B64" s="145"/>
      <c r="C64" s="145"/>
      <c r="D64" s="145"/>
      <c r="E64" s="53" t="n">
        <f aca="false">IF(SUM(M50:M59)=0,99,MATCH(1,M50:M59,0))</f>
        <v>4</v>
      </c>
      <c r="F64" s="122" t="s">
        <v>826</v>
      </c>
      <c r="G64" s="122"/>
      <c r="H64" s="122"/>
      <c r="I64" s="122"/>
      <c r="J64" s="122"/>
      <c r="K64" s="122"/>
      <c r="L64" s="122"/>
      <c r="M64" s="122"/>
      <c r="N64" s="122"/>
      <c r="O64" s="122"/>
      <c r="P64" s="122"/>
      <c r="Q64" s="122"/>
    </row>
    <row r="65" customFormat="false" ht="18" hidden="false" customHeight="true" outlineLevel="0" collapsed="false">
      <c r="A65" s="145" t="s">
        <v>827</v>
      </c>
      <c r="B65" s="145"/>
      <c r="C65" s="145"/>
      <c r="D65" s="145"/>
      <c r="E65" s="53" t="n">
        <f aca="false">MIN(p_Nmax+1,11)</f>
        <v>11</v>
      </c>
      <c r="F65" s="122" t="s">
        <v>828</v>
      </c>
      <c r="G65" s="122"/>
      <c r="H65" s="122"/>
      <c r="I65" s="122"/>
      <c r="J65" s="122"/>
      <c r="K65" s="122"/>
      <c r="L65" s="122"/>
      <c r="M65" s="122"/>
      <c r="N65" s="122"/>
      <c r="O65" s="122"/>
      <c r="P65" s="122"/>
      <c r="Q65" s="122"/>
    </row>
    <row r="66" customFormat="false" ht="18" hidden="false" customHeight="true" outlineLevel="0" collapsed="false">
      <c r="A66" s="146" t="s">
        <v>829</v>
      </c>
      <c r="B66" s="146"/>
      <c r="C66" s="146"/>
      <c r="D66" s="146"/>
      <c r="E66" s="149" t="n">
        <f aca="false">MIN($E$62,$E$63,$E$64,$E$65)</f>
        <v>4</v>
      </c>
      <c r="F66" s="122" t="s">
        <v>830</v>
      </c>
      <c r="G66" s="122"/>
      <c r="H66" s="122"/>
      <c r="I66" s="122"/>
      <c r="J66" s="122"/>
      <c r="K66" s="122"/>
      <c r="L66" s="122"/>
      <c r="M66" s="122"/>
      <c r="N66" s="122"/>
      <c r="O66" s="122"/>
      <c r="P66" s="122"/>
      <c r="Q66" s="122"/>
    </row>
    <row r="67" customFormat="false" ht="15" hidden="false" customHeight="true" outlineLevel="0" collapsed="false">
      <c r="A67" s="146" t="s">
        <v>831</v>
      </c>
      <c r="B67" s="146"/>
      <c r="C67" s="146"/>
      <c r="D67" s="146"/>
      <c r="E67" s="149" t="n">
        <f aca="false">MAX(0,MIN($E$66-1,10))</f>
        <v>3</v>
      </c>
      <c r="F67" s="122" t="s">
        <v>832</v>
      </c>
      <c r="G67" s="122"/>
      <c r="H67" s="122"/>
      <c r="I67" s="122"/>
      <c r="J67" s="122"/>
      <c r="K67" s="122"/>
      <c r="L67" s="122"/>
      <c r="M67" s="122"/>
      <c r="N67" s="122"/>
      <c r="O67" s="122"/>
      <c r="P67" s="122"/>
      <c r="Q67" s="122"/>
    </row>
    <row r="68" customFormat="false" ht="31.5" hidden="false" customHeight="true" outlineLevel="0" collapsed="false">
      <c r="A68" s="146" t="s">
        <v>833</v>
      </c>
      <c r="B68" s="146"/>
      <c r="C68" s="146"/>
      <c r="D68" s="146"/>
      <c r="E68" s="150" t="str">
        <f aca="false">IF($E$66=$E$64,"Saturation budgétaire : le budget annuel disponible est atteint avant que les cas cessent d’être rentables.",IF($E$66=$E$63,"Décrochage du retour agrégé : les cas suivants restent positifs mais font passer le portefeuille sous le seuil du comité.",IF($E$66=$E$65,"Saturation du dispositif de gouvernance : la capacité de supervision est atteinte avant tout décrochage économique.",IF($E$66=$E$62,"Rentabilité marginale : le cas de ce rang détruit de la valeur sur l’horizon retenu.","Aucune contrainte atteinte sur les cas paramétrés."))))</f>
        <v>Saturation budgétaire : le budget annuel disponible est atteint avant que les cas cessent d’être rentables.</v>
      </c>
      <c r="F68" s="150"/>
      <c r="G68" s="150"/>
      <c r="H68" s="150"/>
      <c r="I68" s="150"/>
      <c r="J68" s="150"/>
      <c r="K68" s="150"/>
      <c r="L68" s="150"/>
      <c r="M68" s="150"/>
      <c r="N68" s="150"/>
      <c r="O68" s="150"/>
      <c r="P68" s="150"/>
      <c r="Q68" s="150"/>
    </row>
    <row r="70" customFormat="false" ht="27.75" hidden="false" customHeight="true" outlineLevel="0" collapsed="false">
      <c r="A70" s="25" t="s">
        <v>834</v>
      </c>
      <c r="B70" s="25"/>
      <c r="C70" s="25"/>
      <c r="D70" s="25"/>
      <c r="E70" s="25"/>
      <c r="F70" s="25"/>
      <c r="G70" s="25"/>
      <c r="H70" s="25"/>
      <c r="I70" s="25"/>
      <c r="J70" s="25"/>
      <c r="K70" s="25"/>
      <c r="L70" s="25"/>
      <c r="M70" s="25"/>
      <c r="N70" s="25"/>
      <c r="O70" s="25"/>
      <c r="P70" s="25"/>
      <c r="Q70" s="25"/>
    </row>
  </sheetData>
  <mergeCells count="38">
    <mergeCell ref="A1:Q1"/>
    <mergeCell ref="A2:Q2"/>
    <mergeCell ref="A3:Q3"/>
    <mergeCell ref="A5:Q5"/>
    <mergeCell ref="A13:Q13"/>
    <mergeCell ref="A26:Q26"/>
    <mergeCell ref="A39:Q39"/>
    <mergeCell ref="A40:D40"/>
    <mergeCell ref="F40:Q40"/>
    <mergeCell ref="A41:D41"/>
    <mergeCell ref="F41:Q41"/>
    <mergeCell ref="A42:D42"/>
    <mergeCell ref="F42:Q42"/>
    <mergeCell ref="A43:D43"/>
    <mergeCell ref="F43:Q43"/>
    <mergeCell ref="A44:D44"/>
    <mergeCell ref="F44:Q44"/>
    <mergeCell ref="A45:D45"/>
    <mergeCell ref="F45:Q45"/>
    <mergeCell ref="A46:D46"/>
    <mergeCell ref="F46:Q46"/>
    <mergeCell ref="A48:Q48"/>
    <mergeCell ref="A61:Q61"/>
    <mergeCell ref="A62:D62"/>
    <mergeCell ref="F62:Q62"/>
    <mergeCell ref="A63:D63"/>
    <mergeCell ref="F63:Q63"/>
    <mergeCell ref="A64:D64"/>
    <mergeCell ref="F64:Q64"/>
    <mergeCell ref="A65:D65"/>
    <mergeCell ref="F65:Q65"/>
    <mergeCell ref="A66:D66"/>
    <mergeCell ref="F66:Q66"/>
    <mergeCell ref="A67:D67"/>
    <mergeCell ref="F67:Q67"/>
    <mergeCell ref="A68:D68"/>
    <mergeCell ref="E68:Q68"/>
    <mergeCell ref="A70:Q70"/>
  </mergeCell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CED4DA"/>
    <pageSetUpPr fitToPage="true"/>
  </sheetPr>
  <dimension ref="A1:AE12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3" ySplit="5" topLeftCell="D6" activePane="bottomRight" state="frozen"/>
      <selection pane="topLeft" activeCell="A1" activeCellId="0" sqref="A1"/>
      <selection pane="topRight" activeCell="D1" activeCellId="0" sqref="D1"/>
      <selection pane="bottomLeft" activeCell="A6" activeCellId="0" sqref="A6"/>
      <selection pane="bottomRight" activeCell="A1" activeCellId="0" sqref="A1"/>
    </sheetView>
  </sheetViews>
  <sheetFormatPr defaultColWidth="8.6796875" defaultRowHeight="15" zeroHeight="false" outlineLevelRow="0" outlineLevelCol="0"/>
  <cols>
    <col collapsed="false" customWidth="true" hidden="false" outlineLevel="0" max="1" min="1" style="0" width="26"/>
    <col collapsed="false" customWidth="true" hidden="false" outlineLevel="0" max="2" min="2" style="0" width="10"/>
    <col collapsed="false" customWidth="true" hidden="false" outlineLevel="0" max="3" min="3" style="0" width="9"/>
    <col collapsed="false" customWidth="true" hidden="false" outlineLevel="0" max="4" min="4" style="0" width="38"/>
    <col collapsed="false" customWidth="true" hidden="false" outlineLevel="0" max="5" min="5" style="0" width="56"/>
    <col collapsed="false" customWidth="true" hidden="false" outlineLevel="0" max="7" min="6" style="0" width="19"/>
    <col collapsed="false" customWidth="true" hidden="false" outlineLevel="0" max="8" min="8" style="0" width="46"/>
    <col collapsed="false" customWidth="true" hidden="false" outlineLevel="0" max="10" min="9" style="0" width="12"/>
    <col collapsed="false" customWidth="true" hidden="false" outlineLevel="0" max="12" min="11" style="0" width="9"/>
    <col collapsed="false" customWidth="true" hidden="false" outlineLevel="0" max="13" min="13" style="0" width="11"/>
    <col collapsed="false" customWidth="true" hidden="false" outlineLevel="0" max="14" min="14" style="0" width="10"/>
    <col collapsed="false" customWidth="true" hidden="false" outlineLevel="0" max="15" min="15" style="0" width="11"/>
    <col collapsed="false" customWidth="true" hidden="false" outlineLevel="0" max="16" min="16" style="0" width="50"/>
    <col collapsed="false" customWidth="true" hidden="false" outlineLevel="0" max="18" min="17" style="0" width="10"/>
    <col collapsed="false" customWidth="true" hidden="false" outlineLevel="0" max="19" min="19" style="0" width="11"/>
    <col collapsed="false" customWidth="true" hidden="false" outlineLevel="0" max="20" min="20" style="0" width="32"/>
    <col collapsed="false" customWidth="true" hidden="false" outlineLevel="0" max="21" min="21" style="0" width="52"/>
    <col collapsed="false" customWidth="true" hidden="false" outlineLevel="0" max="22" min="22" style="0" width="13"/>
    <col collapsed="false" customWidth="true" hidden="false" outlineLevel="0" max="27" min="27" style="0" width="24"/>
    <col collapsed="false" customWidth="true" hidden="false" outlineLevel="0" max="28" min="28" style="0" width="9"/>
    <col collapsed="false" customWidth="true" hidden="false" outlineLevel="0" max="30" min="30" style="0" width="58"/>
    <col collapsed="false" customWidth="true" hidden="false" outlineLevel="0" max="31" min="31" style="0" width="16"/>
  </cols>
  <sheetData>
    <row r="1" customFormat="false" ht="30" hidden="false" customHeight="true" outlineLevel="0" collapsed="false">
      <c r="A1" s="1" t="s">
        <v>835</v>
      </c>
      <c r="B1" s="1"/>
      <c r="C1" s="1"/>
      <c r="D1" s="1"/>
      <c r="E1" s="1"/>
      <c r="F1" s="1"/>
      <c r="G1" s="1"/>
      <c r="H1" s="1"/>
      <c r="I1" s="1"/>
      <c r="J1" s="1"/>
      <c r="K1" s="1"/>
      <c r="L1" s="1"/>
      <c r="M1" s="1"/>
      <c r="N1" s="1"/>
      <c r="O1" s="1"/>
      <c r="P1" s="1"/>
      <c r="Q1" s="1"/>
      <c r="R1" s="1"/>
      <c r="S1" s="1"/>
      <c r="T1" s="1"/>
      <c r="U1" s="1"/>
      <c r="V1" s="1"/>
    </row>
    <row r="2" customFormat="false" ht="19.5" hidden="false" customHeight="true" outlineLevel="0" collapsed="false">
      <c r="A2" s="2" t="s">
        <v>836</v>
      </c>
      <c r="B2" s="2"/>
      <c r="C2" s="2"/>
      <c r="D2" s="2"/>
      <c r="E2" s="2"/>
      <c r="F2" s="2"/>
      <c r="G2" s="2"/>
      <c r="H2" s="2"/>
      <c r="I2" s="2"/>
      <c r="J2" s="2"/>
      <c r="K2" s="2"/>
      <c r="L2" s="2"/>
      <c r="M2" s="2"/>
      <c r="N2" s="2"/>
      <c r="O2" s="2"/>
      <c r="P2" s="2"/>
      <c r="Q2" s="2"/>
      <c r="R2" s="2"/>
      <c r="S2" s="2"/>
      <c r="T2" s="2"/>
      <c r="U2" s="2"/>
      <c r="V2" s="2"/>
    </row>
    <row r="3" customFormat="false" ht="15.75" hidden="false" customHeight="true" outlineLevel="0" collapsed="false">
      <c r="A3" s="3" t="s">
        <v>837</v>
      </c>
      <c r="B3" s="3"/>
      <c r="C3" s="3"/>
      <c r="D3" s="3"/>
      <c r="E3" s="3"/>
      <c r="F3" s="3"/>
      <c r="G3" s="3"/>
      <c r="H3" s="3"/>
      <c r="I3" s="3"/>
      <c r="J3" s="3"/>
      <c r="K3" s="3"/>
      <c r="L3" s="3"/>
      <c r="M3" s="3"/>
      <c r="N3" s="3"/>
      <c r="O3" s="3"/>
      <c r="P3" s="3"/>
      <c r="Q3" s="3"/>
      <c r="R3" s="3"/>
      <c r="S3" s="3"/>
      <c r="T3" s="3"/>
      <c r="U3" s="3"/>
      <c r="V3" s="3"/>
    </row>
    <row r="5" customFormat="false" ht="30" hidden="false" customHeight="true" outlineLevel="0" collapsed="false">
      <c r="A5" s="8" t="s">
        <v>351</v>
      </c>
      <c r="B5" s="8" t="s">
        <v>350</v>
      </c>
      <c r="C5" s="8" t="s">
        <v>838</v>
      </c>
      <c r="D5" s="8" t="s">
        <v>839</v>
      </c>
      <c r="E5" s="8" t="s">
        <v>840</v>
      </c>
      <c r="F5" s="8" t="s">
        <v>841</v>
      </c>
      <c r="G5" s="8" t="s">
        <v>842</v>
      </c>
      <c r="H5" s="8" t="s">
        <v>843</v>
      </c>
      <c r="I5" s="8" t="s">
        <v>844</v>
      </c>
      <c r="J5" s="8" t="s">
        <v>845</v>
      </c>
      <c r="K5" s="8" t="s">
        <v>846</v>
      </c>
      <c r="L5" s="8" t="s">
        <v>847</v>
      </c>
      <c r="M5" s="8" t="s">
        <v>848</v>
      </c>
      <c r="N5" s="8" t="s">
        <v>849</v>
      </c>
      <c r="O5" s="8" t="s">
        <v>850</v>
      </c>
      <c r="P5" s="8" t="s">
        <v>851</v>
      </c>
      <c r="Q5" s="8" t="s">
        <v>852</v>
      </c>
      <c r="R5" s="8" t="s">
        <v>853</v>
      </c>
      <c r="S5" s="8" t="s">
        <v>854</v>
      </c>
      <c r="T5" s="8" t="s">
        <v>855</v>
      </c>
      <c r="U5" s="8" t="s">
        <v>856</v>
      </c>
      <c r="V5" s="8" t="s">
        <v>857</v>
      </c>
      <c r="AA5" s="8" t="s">
        <v>858</v>
      </c>
      <c r="AB5" s="8" t="s">
        <v>859</v>
      </c>
    </row>
    <row r="6" customFormat="false" ht="19.4" hidden="false" customHeight="false" outlineLevel="0" collapsed="false">
      <c r="A6" s="151" t="s">
        <v>372</v>
      </c>
      <c r="B6" s="69" t="s">
        <v>371</v>
      </c>
      <c r="C6" s="152" t="s">
        <v>860</v>
      </c>
      <c r="D6" s="68" t="s">
        <v>370</v>
      </c>
      <c r="E6" s="68" t="s">
        <v>861</v>
      </c>
      <c r="F6" s="152" t="s">
        <v>862</v>
      </c>
      <c r="G6" s="152" t="s">
        <v>862</v>
      </c>
      <c r="H6" s="68" t="s">
        <v>863</v>
      </c>
      <c r="I6" s="152" t="s">
        <v>864</v>
      </c>
      <c r="J6" s="152" t="s">
        <v>865</v>
      </c>
      <c r="K6" s="153" t="n">
        <f aca="false">IFERROR(INDEX($AB$6:$AB$12,MATCH($I6,$AA$6:$AA$12,0)),"")</f>
        <v>3</v>
      </c>
      <c r="L6" s="153" t="n">
        <f aca="false">IFERROR(INDEX($AB$6:$AB$12,MATCH($J6,$AA$6:$AA$12,0)),"")</f>
        <v>4</v>
      </c>
      <c r="M6" s="67" t="n">
        <f aca="false">IF(OR($K6="",$L6=""),"",$L6-$K6)</f>
        <v>1</v>
      </c>
      <c r="N6" s="152" t="s">
        <v>866</v>
      </c>
      <c r="O6" s="32" t="n">
        <f aca="false">IFERROR(VALUE(LEFT($N6,1)),"")</f>
        <v>4</v>
      </c>
      <c r="P6" s="154" t="s">
        <v>867</v>
      </c>
      <c r="Q6" s="69" t="s">
        <v>868</v>
      </c>
      <c r="R6" s="69" t="str">
        <f aca="false">IF(ISNUMBER(SEARCH("D+C",$Q6)),"D+C",IF(OR($Q6="D",ISNUMBER(SEARCH("D par éditeur",$Q6))),"D",IF(OR($Q6="P",ISNUMBER(SEARCH("P recherche",$Q6))),"P",IF($Q6="A","A",IF(ISNUMBER(SEARCH("PNO",$Q6)),"PNO","")))))</f>
        <v>D+C</v>
      </c>
      <c r="S6" s="152" t="str">
        <f aca="false">IF(OR(ISNUMBER(SEARCH("Annexe III 4",$P6)),ISNUMBER(SEARCH("Annexe III 5",$P6))),"Oui","Non")</f>
        <v>Non</v>
      </c>
      <c r="T6" s="154" t="s">
        <v>869</v>
      </c>
      <c r="U6" s="154" t="s">
        <v>870</v>
      </c>
      <c r="V6" s="155" t="s">
        <v>871</v>
      </c>
      <c r="AA6" s="151" t="s">
        <v>872</v>
      </c>
      <c r="AB6" s="67" t="n">
        <v>0</v>
      </c>
    </row>
    <row r="7" customFormat="false" ht="91.75" hidden="false" customHeight="false" outlineLevel="0" collapsed="false">
      <c r="A7" s="151" t="s">
        <v>372</v>
      </c>
      <c r="B7" s="69" t="s">
        <v>873</v>
      </c>
      <c r="C7" s="152" t="s">
        <v>860</v>
      </c>
      <c r="D7" s="68" t="s">
        <v>874</v>
      </c>
      <c r="E7" s="68" t="s">
        <v>875</v>
      </c>
      <c r="F7" s="152" t="s">
        <v>876</v>
      </c>
      <c r="G7" s="152" t="s">
        <v>876</v>
      </c>
      <c r="H7" s="68" t="s">
        <v>877</v>
      </c>
      <c r="I7" s="152" t="s">
        <v>878</v>
      </c>
      <c r="J7" s="152" t="s">
        <v>864</v>
      </c>
      <c r="K7" s="153" t="n">
        <f aca="false">IFERROR(INDEX($AB$6:$AB$12,MATCH($I7,$AA$6:$AA$12,0)),"")</f>
        <v>2</v>
      </c>
      <c r="L7" s="153" t="n">
        <f aca="false">IFERROR(INDEX($AB$6:$AB$12,MATCH($J7,$AA$6:$AA$12,0)),"")</f>
        <v>3</v>
      </c>
      <c r="M7" s="67" t="n">
        <f aca="false">IF(OR($K7="",$L7=""),"",$L7-$K7)</f>
        <v>1</v>
      </c>
      <c r="N7" s="152" t="s">
        <v>879</v>
      </c>
      <c r="O7" s="32" t="n">
        <f aca="false">IFERROR(VALUE(LEFT($N7,1)),"")</f>
        <v>2</v>
      </c>
      <c r="P7" s="154" t="s">
        <v>880</v>
      </c>
      <c r="Q7" s="69" t="s">
        <v>868</v>
      </c>
      <c r="R7" s="69" t="str">
        <f aca="false">IF(ISNUMBER(SEARCH("D+C",$Q7)),"D+C",IF(OR($Q7="D",ISNUMBER(SEARCH("D par éditeur",$Q7))),"D",IF(OR($Q7="P",ISNUMBER(SEARCH("P recherche",$Q7))),"P",IF($Q7="A","A",IF(ISNUMBER(SEARCH("PNO",$Q7)),"PNO","")))))</f>
        <v>D+C</v>
      </c>
      <c r="S7" s="152" t="str">
        <f aca="false">IF(OR(ISNUMBER(SEARCH("Annexe III 4",$P7)),ISNUMBER(SEARCH("Annexe III 5",$P7))),"Oui","Non")</f>
        <v>Non</v>
      </c>
      <c r="T7" s="154" t="s">
        <v>881</v>
      </c>
      <c r="U7" s="154" t="s">
        <v>882</v>
      </c>
      <c r="V7" s="155" t="s">
        <v>883</v>
      </c>
      <c r="AA7" s="151" t="s">
        <v>884</v>
      </c>
      <c r="AB7" s="67" t="n">
        <v>0</v>
      </c>
    </row>
    <row r="8" customFormat="false" ht="83.55" hidden="false" customHeight="false" outlineLevel="0" collapsed="false">
      <c r="A8" s="151" t="s">
        <v>372</v>
      </c>
      <c r="B8" s="69" t="s">
        <v>885</v>
      </c>
      <c r="C8" s="152" t="s">
        <v>860</v>
      </c>
      <c r="D8" s="68" t="s">
        <v>886</v>
      </c>
      <c r="E8" s="68" t="s">
        <v>887</v>
      </c>
      <c r="F8" s="152" t="s">
        <v>888</v>
      </c>
      <c r="G8" s="152" t="s">
        <v>888</v>
      </c>
      <c r="H8" s="68" t="s">
        <v>889</v>
      </c>
      <c r="I8" s="152" t="s">
        <v>878</v>
      </c>
      <c r="J8" s="152" t="s">
        <v>864</v>
      </c>
      <c r="K8" s="153" t="n">
        <f aca="false">IFERROR(INDEX($AB$6:$AB$12,MATCH($I8,$AA$6:$AA$12,0)),"")</f>
        <v>2</v>
      </c>
      <c r="L8" s="153" t="n">
        <f aca="false">IFERROR(INDEX($AB$6:$AB$12,MATCH($J8,$AA$6:$AA$12,0)),"")</f>
        <v>3</v>
      </c>
      <c r="M8" s="67" t="n">
        <f aca="false">IF(OR($K8="",$L8=""),"",$L8-$K8)</f>
        <v>1</v>
      </c>
      <c r="N8" s="152" t="s">
        <v>866</v>
      </c>
      <c r="O8" s="32" t="n">
        <f aca="false">IFERROR(VALUE(LEFT($N8,1)),"")</f>
        <v>4</v>
      </c>
      <c r="P8" s="154" t="s">
        <v>890</v>
      </c>
      <c r="Q8" s="69" t="s">
        <v>891</v>
      </c>
      <c r="R8" s="69" t="str">
        <f aca="false">IF(ISNUMBER(SEARCH("D+C",$Q8)),"D+C",IF(OR($Q8="D",ISNUMBER(SEARCH("D par éditeur",$Q8))),"D",IF(OR($Q8="P",ISNUMBER(SEARCH("P recherche",$Q8))),"P",IF($Q8="A","A",IF(ISNUMBER(SEARCH("PNO",$Q8)),"PNO","")))))</f>
        <v>P</v>
      </c>
      <c r="S8" s="152" t="str">
        <f aca="false">IF(OR(ISNUMBER(SEARCH("Annexe III 4",$P8)),ISNUMBER(SEARCH("Annexe III 5",$P8))),"Oui","Non")</f>
        <v>Non</v>
      </c>
      <c r="T8" s="154" t="s">
        <v>892</v>
      </c>
      <c r="U8" s="154" t="s">
        <v>893</v>
      </c>
      <c r="V8" s="155" t="s">
        <v>894</v>
      </c>
      <c r="AA8" s="151" t="s">
        <v>895</v>
      </c>
      <c r="AB8" s="67" t="n">
        <v>0</v>
      </c>
    </row>
    <row r="9" customFormat="false" ht="67.15" hidden="false" customHeight="false" outlineLevel="0" collapsed="false">
      <c r="A9" s="151" t="s">
        <v>372</v>
      </c>
      <c r="B9" s="69" t="s">
        <v>376</v>
      </c>
      <c r="C9" s="152" t="s">
        <v>860</v>
      </c>
      <c r="D9" s="68" t="s">
        <v>896</v>
      </c>
      <c r="E9" s="68" t="s">
        <v>897</v>
      </c>
      <c r="F9" s="152" t="s">
        <v>888</v>
      </c>
      <c r="G9" s="152" t="s">
        <v>888</v>
      </c>
      <c r="H9" s="68" t="s">
        <v>898</v>
      </c>
      <c r="I9" s="152" t="s">
        <v>864</v>
      </c>
      <c r="J9" s="152" t="s">
        <v>865</v>
      </c>
      <c r="K9" s="153" t="n">
        <f aca="false">IFERROR(INDEX($AB$6:$AB$12,MATCH($I9,$AA$6:$AA$12,0)),"")</f>
        <v>3</v>
      </c>
      <c r="L9" s="153" t="n">
        <f aca="false">IFERROR(INDEX($AB$6:$AB$12,MATCH($J9,$AA$6:$AA$12,0)),"")</f>
        <v>4</v>
      </c>
      <c r="M9" s="67" t="n">
        <f aca="false">IF(OR($K9="",$L9=""),"",$L9-$K9)</f>
        <v>1</v>
      </c>
      <c r="N9" s="152" t="s">
        <v>866</v>
      </c>
      <c r="O9" s="32" t="n">
        <f aca="false">IFERROR(VALUE(LEFT($N9,1)),"")</f>
        <v>4</v>
      </c>
      <c r="P9" s="154" t="s">
        <v>899</v>
      </c>
      <c r="Q9" s="69" t="s">
        <v>868</v>
      </c>
      <c r="R9" s="69" t="str">
        <f aca="false">IF(ISNUMBER(SEARCH("D+C",$Q9)),"D+C",IF(OR($Q9="D",ISNUMBER(SEARCH("D par éditeur",$Q9))),"D",IF(OR($Q9="P",ISNUMBER(SEARCH("P recherche",$Q9))),"P",IF($Q9="A","A",IF(ISNUMBER(SEARCH("PNO",$Q9)),"PNO","")))))</f>
        <v>D+C</v>
      </c>
      <c r="S9" s="152" t="str">
        <f aca="false">IF(OR(ISNUMBER(SEARCH("Annexe III 4",$P9)),ISNUMBER(SEARCH("Annexe III 5",$P9))),"Oui","Non")</f>
        <v>Non</v>
      </c>
      <c r="T9" s="154" t="s">
        <v>900</v>
      </c>
      <c r="U9" s="154" t="s">
        <v>901</v>
      </c>
      <c r="V9" s="155" t="s">
        <v>902</v>
      </c>
      <c r="AA9" s="151" t="s">
        <v>903</v>
      </c>
      <c r="AB9" s="67" t="n">
        <v>1</v>
      </c>
    </row>
    <row r="10" customFormat="false" ht="19.4" hidden="false" customHeight="false" outlineLevel="0" collapsed="false">
      <c r="A10" s="151" t="s">
        <v>372</v>
      </c>
      <c r="B10" s="69" t="s">
        <v>904</v>
      </c>
      <c r="C10" s="152" t="s">
        <v>905</v>
      </c>
      <c r="D10" s="68" t="s">
        <v>906</v>
      </c>
      <c r="E10" s="68" t="s">
        <v>907</v>
      </c>
      <c r="F10" s="152" t="s">
        <v>908</v>
      </c>
      <c r="G10" s="152" t="s">
        <v>888</v>
      </c>
      <c r="H10" s="68" t="s">
        <v>909</v>
      </c>
      <c r="I10" s="152" t="s">
        <v>864</v>
      </c>
      <c r="J10" s="152" t="s">
        <v>864</v>
      </c>
      <c r="K10" s="153" t="n">
        <f aca="false">IFERROR(INDEX($AB$6:$AB$12,MATCH($I10,$AA$6:$AA$12,0)),"")</f>
        <v>3</v>
      </c>
      <c r="L10" s="153" t="n">
        <f aca="false">IFERROR(INDEX($AB$6:$AB$12,MATCH($J10,$AA$6:$AA$12,0)),"")</f>
        <v>3</v>
      </c>
      <c r="M10" s="67" t="n">
        <f aca="false">IF(OR($K10="",$L10=""),"",$L10-$K10)</f>
        <v>0</v>
      </c>
      <c r="N10" s="152" t="s">
        <v>910</v>
      </c>
      <c r="O10" s="32" t="n">
        <f aca="false">IFERROR(VALUE(LEFT($N10,1)),"")</f>
        <v>3</v>
      </c>
      <c r="P10" s="154" t="s">
        <v>911</v>
      </c>
      <c r="Q10" s="69" t="s">
        <v>912</v>
      </c>
      <c r="R10" s="69" t="str">
        <f aca="false">IF(ISNUMBER(SEARCH("D+C",$Q10)),"D+C",IF(OR($Q10="D",ISNUMBER(SEARCH("D par éditeur",$Q10))),"D",IF(OR($Q10="P",ISNUMBER(SEARCH("P recherche",$Q10))),"P",IF($Q10="A","A",IF(ISNUMBER(SEARCH("PNO",$Q10)),"PNO","")))))</f>
        <v>PNO</v>
      </c>
      <c r="S10" s="152" t="str">
        <f aca="false">IF(OR(ISNUMBER(SEARCH("Annexe III 4",$P10)),ISNUMBER(SEARCH("Annexe III 5",$P10))),"Oui","Non")</f>
        <v>Non</v>
      </c>
      <c r="T10" s="154" t="s">
        <v>913</v>
      </c>
      <c r="U10" s="154" t="s">
        <v>914</v>
      </c>
      <c r="V10" s="155"/>
      <c r="AA10" s="151" t="s">
        <v>878</v>
      </c>
      <c r="AB10" s="67" t="n">
        <v>2</v>
      </c>
    </row>
    <row r="11" customFormat="false" ht="19.4" hidden="false" customHeight="false" outlineLevel="0" collapsed="false">
      <c r="A11" s="151" t="s">
        <v>372</v>
      </c>
      <c r="B11" s="69" t="s">
        <v>915</v>
      </c>
      <c r="C11" s="152" t="s">
        <v>860</v>
      </c>
      <c r="D11" s="68" t="s">
        <v>916</v>
      </c>
      <c r="E11" s="68" t="s">
        <v>917</v>
      </c>
      <c r="F11" s="152" t="s">
        <v>918</v>
      </c>
      <c r="G11" s="152" t="s">
        <v>919</v>
      </c>
      <c r="H11" s="68" t="s">
        <v>920</v>
      </c>
      <c r="I11" s="152" t="s">
        <v>864</v>
      </c>
      <c r="J11" s="152" t="s">
        <v>864</v>
      </c>
      <c r="K11" s="153" t="n">
        <f aca="false">IFERROR(INDEX($AB$6:$AB$12,MATCH($I11,$AA$6:$AA$12,0)),"")</f>
        <v>3</v>
      </c>
      <c r="L11" s="153" t="n">
        <f aca="false">IFERROR(INDEX($AB$6:$AB$12,MATCH($J11,$AA$6:$AA$12,0)),"")</f>
        <v>3</v>
      </c>
      <c r="M11" s="67" t="n">
        <f aca="false">IF(OR($K11="",$L11=""),"",$L11-$K11)</f>
        <v>0</v>
      </c>
      <c r="N11" s="152" t="s">
        <v>921</v>
      </c>
      <c r="O11" s="32" t="n">
        <f aca="false">IFERROR(VALUE(LEFT($N11,1)),"")</f>
        <v>5</v>
      </c>
      <c r="P11" s="154" t="s">
        <v>922</v>
      </c>
      <c r="Q11" s="69" t="s">
        <v>912</v>
      </c>
      <c r="R11" s="69" t="str">
        <f aca="false">IF(ISNUMBER(SEARCH("D+C",$Q11)),"D+C",IF(OR($Q11="D",ISNUMBER(SEARCH("D par éditeur",$Q11))),"D",IF(OR($Q11="P",ISNUMBER(SEARCH("P recherche",$Q11))),"P",IF($Q11="A","A",IF(ISNUMBER(SEARCH("PNO",$Q11)),"PNO","")))))</f>
        <v>PNO</v>
      </c>
      <c r="S11" s="152" t="str">
        <f aca="false">IF(OR(ISNUMBER(SEARCH("Annexe III 4",$P11)),ISNUMBER(SEARCH("Annexe III 5",$P11))),"Oui","Non")</f>
        <v>Oui</v>
      </c>
      <c r="T11" s="154" t="s">
        <v>923</v>
      </c>
      <c r="U11" s="154" t="s">
        <v>924</v>
      </c>
      <c r="V11" s="155"/>
      <c r="AA11" s="151" t="s">
        <v>864</v>
      </c>
      <c r="AB11" s="67" t="n">
        <v>3</v>
      </c>
    </row>
    <row r="12" customFormat="false" ht="58.95" hidden="false" customHeight="false" outlineLevel="0" collapsed="false">
      <c r="A12" s="151" t="s">
        <v>372</v>
      </c>
      <c r="B12" s="69" t="s">
        <v>925</v>
      </c>
      <c r="C12" s="152" t="s">
        <v>905</v>
      </c>
      <c r="D12" s="68" t="s">
        <v>926</v>
      </c>
      <c r="E12" s="68" t="s">
        <v>927</v>
      </c>
      <c r="F12" s="152" t="s">
        <v>888</v>
      </c>
      <c r="G12" s="152" t="s">
        <v>888</v>
      </c>
      <c r="H12" s="68" t="s">
        <v>928</v>
      </c>
      <c r="I12" s="152" t="s">
        <v>864</v>
      </c>
      <c r="J12" s="152" t="s">
        <v>865</v>
      </c>
      <c r="K12" s="153" t="n">
        <f aca="false">IFERROR(INDEX($AB$6:$AB$12,MATCH($I12,$AA$6:$AA$12,0)),"")</f>
        <v>3</v>
      </c>
      <c r="L12" s="153" t="n">
        <f aca="false">IFERROR(INDEX($AB$6:$AB$12,MATCH($J12,$AA$6:$AA$12,0)),"")</f>
        <v>4</v>
      </c>
      <c r="M12" s="67" t="n">
        <f aca="false">IF(OR($K12="",$L12=""),"",$L12-$K12)</f>
        <v>1</v>
      </c>
      <c r="N12" s="152" t="s">
        <v>866</v>
      </c>
      <c r="O12" s="32" t="n">
        <f aca="false">IFERROR(VALUE(LEFT($N12,1)),"")</f>
        <v>4</v>
      </c>
      <c r="P12" s="154" t="s">
        <v>929</v>
      </c>
      <c r="Q12" s="69" t="s">
        <v>868</v>
      </c>
      <c r="R12" s="69" t="str">
        <f aca="false">IF(ISNUMBER(SEARCH("D+C",$Q12)),"D+C",IF(OR($Q12="D",ISNUMBER(SEARCH("D par éditeur",$Q12))),"D",IF(OR($Q12="P",ISNUMBER(SEARCH("P recherche",$Q12))),"P",IF($Q12="A","A",IF(ISNUMBER(SEARCH("PNO",$Q12)),"PNO","")))))</f>
        <v>D+C</v>
      </c>
      <c r="S12" s="152" t="str">
        <f aca="false">IF(OR(ISNUMBER(SEARCH("Annexe III 4",$P12)),ISNUMBER(SEARCH("Annexe III 5",$P12))),"Oui","Non")</f>
        <v>Oui</v>
      </c>
      <c r="T12" s="154" t="s">
        <v>930</v>
      </c>
      <c r="U12" s="154" t="s">
        <v>931</v>
      </c>
      <c r="V12" s="155" t="s">
        <v>932</v>
      </c>
      <c r="AA12" s="151" t="s">
        <v>865</v>
      </c>
      <c r="AB12" s="67" t="n">
        <v>4</v>
      </c>
    </row>
    <row r="13" customFormat="false" ht="67.15" hidden="false" customHeight="false" outlineLevel="0" collapsed="false">
      <c r="A13" s="151" t="s">
        <v>372</v>
      </c>
      <c r="B13" s="69" t="s">
        <v>933</v>
      </c>
      <c r="C13" s="152" t="s">
        <v>860</v>
      </c>
      <c r="D13" s="68" t="s">
        <v>934</v>
      </c>
      <c r="E13" s="68" t="s">
        <v>935</v>
      </c>
      <c r="F13" s="152" t="s">
        <v>936</v>
      </c>
      <c r="G13" s="152" t="s">
        <v>937</v>
      </c>
      <c r="H13" s="68" t="s">
        <v>938</v>
      </c>
      <c r="I13" s="152" t="s">
        <v>878</v>
      </c>
      <c r="J13" s="152" t="s">
        <v>864</v>
      </c>
      <c r="K13" s="153" t="n">
        <f aca="false">IFERROR(INDEX($AB$6:$AB$12,MATCH($I13,$AA$6:$AA$12,0)),"")</f>
        <v>2</v>
      </c>
      <c r="L13" s="153" t="n">
        <f aca="false">IFERROR(INDEX($AB$6:$AB$12,MATCH($J13,$AA$6:$AA$12,0)),"")</f>
        <v>3</v>
      </c>
      <c r="M13" s="67" t="n">
        <f aca="false">IF(OR($K13="",$L13=""),"",$L13-$K13)</f>
        <v>1</v>
      </c>
      <c r="N13" s="152" t="s">
        <v>939</v>
      </c>
      <c r="O13" s="32" t="n">
        <f aca="false">IFERROR(VALUE(LEFT($N13,1)),"")</f>
        <v>3</v>
      </c>
      <c r="P13" s="154" t="s">
        <v>940</v>
      </c>
      <c r="Q13" s="69" t="s">
        <v>941</v>
      </c>
      <c r="R13" s="69" t="str">
        <f aca="false">IF(ISNUMBER(SEARCH("D+C",$Q13)),"D+C",IF(OR($Q13="D",ISNUMBER(SEARCH("D par éditeur",$Q13))),"D",IF(OR($Q13="P",ISNUMBER(SEARCH("P recherche",$Q13))),"P",IF($Q13="A","A",IF(ISNUMBER(SEARCH("PNO",$Q13)),"PNO","")))))</f>
        <v>A</v>
      </c>
      <c r="S13" s="152" t="str">
        <f aca="false">IF(OR(ISNUMBER(SEARCH("Annexe III 4",$P13)),ISNUMBER(SEARCH("Annexe III 5",$P13))),"Oui","Non")</f>
        <v>Non</v>
      </c>
      <c r="T13" s="154" t="s">
        <v>942</v>
      </c>
      <c r="U13" s="154" t="s">
        <v>943</v>
      </c>
      <c r="V13" s="155" t="s">
        <v>944</v>
      </c>
    </row>
    <row r="14" customFormat="false" ht="19.4" hidden="false" customHeight="false" outlineLevel="0" collapsed="false">
      <c r="A14" s="151" t="s">
        <v>372</v>
      </c>
      <c r="B14" s="69" t="s">
        <v>945</v>
      </c>
      <c r="C14" s="152" t="s">
        <v>905</v>
      </c>
      <c r="D14" s="68" t="s">
        <v>946</v>
      </c>
      <c r="E14" s="68" t="s">
        <v>947</v>
      </c>
      <c r="F14" s="152" t="s">
        <v>888</v>
      </c>
      <c r="G14" s="152" t="s">
        <v>51</v>
      </c>
      <c r="H14" s="68" t="s">
        <v>948</v>
      </c>
      <c r="I14" s="152" t="s">
        <v>903</v>
      </c>
      <c r="J14" s="152" t="s">
        <v>878</v>
      </c>
      <c r="K14" s="153" t="n">
        <f aca="false">IFERROR(INDEX($AB$6:$AB$12,MATCH($I14,$AA$6:$AA$12,0)),"")</f>
        <v>1</v>
      </c>
      <c r="L14" s="153" t="n">
        <f aca="false">IFERROR(INDEX($AB$6:$AB$12,MATCH($J14,$AA$6:$AA$12,0)),"")</f>
        <v>2</v>
      </c>
      <c r="M14" s="67" t="n">
        <f aca="false">IF(OR($K14="",$L14=""),"",$L14-$K14)</f>
        <v>1</v>
      </c>
      <c r="N14" s="152" t="s">
        <v>910</v>
      </c>
      <c r="O14" s="32" t="n">
        <f aca="false">IFERROR(VALUE(LEFT($N14,1)),"")</f>
        <v>3</v>
      </c>
      <c r="P14" s="154" t="s">
        <v>949</v>
      </c>
      <c r="Q14" s="69" t="s">
        <v>912</v>
      </c>
      <c r="R14" s="69" t="str">
        <f aca="false">IF(ISNUMBER(SEARCH("D+C",$Q14)),"D+C",IF(OR($Q14="D",ISNUMBER(SEARCH("D par éditeur",$Q14))),"D",IF(OR($Q14="P",ISNUMBER(SEARCH("P recherche",$Q14))),"P",IF($Q14="A","A",IF(ISNUMBER(SEARCH("PNO",$Q14)),"PNO","")))))</f>
        <v>PNO</v>
      </c>
      <c r="S14" s="152" t="str">
        <f aca="false">IF(OR(ISNUMBER(SEARCH("Annexe III 4",$P14)),ISNUMBER(SEARCH("Annexe III 5",$P14))),"Oui","Non")</f>
        <v>Non</v>
      </c>
      <c r="T14" s="154" t="s">
        <v>950</v>
      </c>
      <c r="U14" s="154" t="s">
        <v>914</v>
      </c>
      <c r="V14" s="155"/>
    </row>
    <row r="15" customFormat="false" ht="50.7" hidden="false" customHeight="false" outlineLevel="0" collapsed="false">
      <c r="A15" s="151" t="s">
        <v>372</v>
      </c>
      <c r="B15" s="69" t="s">
        <v>951</v>
      </c>
      <c r="C15" s="152" t="s">
        <v>860</v>
      </c>
      <c r="D15" s="68" t="s">
        <v>952</v>
      </c>
      <c r="E15" s="68" t="s">
        <v>953</v>
      </c>
      <c r="F15" s="152" t="s">
        <v>954</v>
      </c>
      <c r="G15" s="152" t="s">
        <v>955</v>
      </c>
      <c r="H15" s="68" t="s">
        <v>956</v>
      </c>
      <c r="I15" s="152" t="s">
        <v>903</v>
      </c>
      <c r="J15" s="152" t="s">
        <v>878</v>
      </c>
      <c r="K15" s="153" t="n">
        <f aca="false">IFERROR(INDEX($AB$6:$AB$12,MATCH($I15,$AA$6:$AA$12,0)),"")</f>
        <v>1</v>
      </c>
      <c r="L15" s="153" t="n">
        <f aca="false">IFERROR(INDEX($AB$6:$AB$12,MATCH($J15,$AA$6:$AA$12,0)),"")</f>
        <v>2</v>
      </c>
      <c r="M15" s="67" t="n">
        <f aca="false">IF(OR($K15="",$L15=""),"",$L15-$K15)</f>
        <v>1</v>
      </c>
      <c r="N15" s="152" t="s">
        <v>957</v>
      </c>
      <c r="O15" s="32" t="n">
        <f aca="false">IFERROR(VALUE(LEFT($N15,1)),"")</f>
        <v>2</v>
      </c>
      <c r="P15" s="154" t="s">
        <v>958</v>
      </c>
      <c r="Q15" s="69" t="s">
        <v>959</v>
      </c>
      <c r="R15" s="69" t="str">
        <f aca="false">IF(ISNUMBER(SEARCH("D+C",$Q15)),"D+C",IF(OR($Q15="D",ISNUMBER(SEARCH("D par éditeur",$Q15))),"D",IF(OR($Q15="P",ISNUMBER(SEARCH("P recherche",$Q15))),"P",IF($Q15="A","A",IF(ISNUMBER(SEARCH("PNO",$Q15)),"PNO","")))))</f>
        <v>D</v>
      </c>
      <c r="S15" s="152" t="str">
        <f aca="false">IF(OR(ISNUMBER(SEARCH("Annexe III 4",$P15)),ISNUMBER(SEARCH("Annexe III 5",$P15))),"Oui","Non")</f>
        <v>Non</v>
      </c>
      <c r="T15" s="154" t="s">
        <v>960</v>
      </c>
      <c r="U15" s="154" t="s">
        <v>961</v>
      </c>
      <c r="V15" s="155" t="s">
        <v>962</v>
      </c>
      <c r="AD15" s="156" t="s">
        <v>963</v>
      </c>
      <c r="AE15" s="156"/>
    </row>
    <row r="16" customFormat="false" ht="19.5" hidden="false" customHeight="true" outlineLevel="0" collapsed="false">
      <c r="A16" s="151" t="s">
        <v>372</v>
      </c>
      <c r="B16" s="69" t="s">
        <v>964</v>
      </c>
      <c r="C16" s="152" t="s">
        <v>905</v>
      </c>
      <c r="D16" s="68" t="s">
        <v>965</v>
      </c>
      <c r="E16" s="68" t="s">
        <v>966</v>
      </c>
      <c r="F16" s="152" t="s">
        <v>967</v>
      </c>
      <c r="G16" s="152" t="s">
        <v>888</v>
      </c>
      <c r="H16" s="68" t="s">
        <v>968</v>
      </c>
      <c r="I16" s="152" t="s">
        <v>864</v>
      </c>
      <c r="J16" s="152" t="s">
        <v>865</v>
      </c>
      <c r="K16" s="153" t="n">
        <f aca="false">IFERROR(INDEX($AB$6:$AB$12,MATCH($I16,$AA$6:$AA$12,0)),"")</f>
        <v>3</v>
      </c>
      <c r="L16" s="153" t="n">
        <f aca="false">IFERROR(INDEX($AB$6:$AB$12,MATCH($J16,$AA$6:$AA$12,0)),"")</f>
        <v>4</v>
      </c>
      <c r="M16" s="67" t="n">
        <f aca="false">IF(OR($K16="",$L16=""),"",$L16-$K16)</f>
        <v>1</v>
      </c>
      <c r="N16" s="152" t="s">
        <v>866</v>
      </c>
      <c r="O16" s="32" t="n">
        <f aca="false">IFERROR(VALUE(LEFT($N16,1)),"")</f>
        <v>4</v>
      </c>
      <c r="P16" s="154" t="s">
        <v>969</v>
      </c>
      <c r="Q16" s="69" t="s">
        <v>868</v>
      </c>
      <c r="R16" s="69" t="str">
        <f aca="false">IF(ISNUMBER(SEARCH("D+C",$Q16)),"D+C",IF(OR($Q16="D",ISNUMBER(SEARCH("D par éditeur",$Q16))),"D",IF(OR($Q16="P",ISNUMBER(SEARCH("P recherche",$Q16))),"P",IF($Q16="A","A",IF(ISNUMBER(SEARCH("PNO",$Q16)),"PNO","")))))</f>
        <v>D+C</v>
      </c>
      <c r="S16" s="152" t="str">
        <f aca="false">IF(OR(ISNUMBER(SEARCH("Annexe III 4",$P16)),ISNUMBER(SEARCH("Annexe III 5",$P16))),"Oui","Non")</f>
        <v>Non</v>
      </c>
      <c r="T16" s="154" t="s">
        <v>970</v>
      </c>
      <c r="U16" s="154" t="s">
        <v>971</v>
      </c>
      <c r="V16" s="155" t="s">
        <v>972</v>
      </c>
      <c r="AD16" s="68" t="s">
        <v>973</v>
      </c>
      <c r="AE16" s="157" t="n">
        <f aca="false">COUNTA($B$6:$B$125)</f>
        <v>120</v>
      </c>
    </row>
    <row r="17" customFormat="false" ht="19.5" hidden="false" customHeight="true" outlineLevel="0" collapsed="false">
      <c r="A17" s="151" t="s">
        <v>372</v>
      </c>
      <c r="B17" s="69" t="s">
        <v>974</v>
      </c>
      <c r="C17" s="152" t="s">
        <v>905</v>
      </c>
      <c r="D17" s="68" t="s">
        <v>975</v>
      </c>
      <c r="E17" s="68" t="s">
        <v>976</v>
      </c>
      <c r="F17" s="152" t="s">
        <v>977</v>
      </c>
      <c r="G17" s="152" t="s">
        <v>978</v>
      </c>
      <c r="H17" s="68" t="s">
        <v>979</v>
      </c>
      <c r="I17" s="152" t="s">
        <v>878</v>
      </c>
      <c r="J17" s="152" t="s">
        <v>864</v>
      </c>
      <c r="K17" s="153" t="n">
        <f aca="false">IFERROR(INDEX($AB$6:$AB$12,MATCH($I17,$AA$6:$AA$12,0)),"")</f>
        <v>2</v>
      </c>
      <c r="L17" s="153" t="n">
        <f aca="false">IFERROR(INDEX($AB$6:$AB$12,MATCH($J17,$AA$6:$AA$12,0)),"")</f>
        <v>3</v>
      </c>
      <c r="M17" s="67" t="n">
        <f aca="false">IF(OR($K17="",$L17=""),"",$L17-$K17)</f>
        <v>1</v>
      </c>
      <c r="N17" s="152" t="s">
        <v>910</v>
      </c>
      <c r="O17" s="32" t="n">
        <f aca="false">IFERROR(VALUE(LEFT($N17,1)),"")</f>
        <v>3</v>
      </c>
      <c r="P17" s="154" t="s">
        <v>980</v>
      </c>
      <c r="Q17" s="69" t="s">
        <v>912</v>
      </c>
      <c r="R17" s="69" t="str">
        <f aca="false">IF(ISNUMBER(SEARCH("D+C",$Q17)),"D+C",IF(OR($Q17="D",ISNUMBER(SEARCH("D par éditeur",$Q17))),"D",IF(OR($Q17="P",ISNUMBER(SEARCH("P recherche",$Q17))),"P",IF($Q17="A","A",IF(ISNUMBER(SEARCH("PNO",$Q17)),"PNO","")))))</f>
        <v>PNO</v>
      </c>
      <c r="S17" s="152" t="str">
        <f aca="false">IF(OR(ISNUMBER(SEARCH("Annexe III 4",$P17)),ISNUMBER(SEARCH("Annexe III 5",$P17))),"Oui","Non")</f>
        <v>Non</v>
      </c>
      <c r="T17" s="154" t="s">
        <v>981</v>
      </c>
      <c r="U17" s="154" t="s">
        <v>982</v>
      </c>
      <c r="V17" s="155" t="s">
        <v>983</v>
      </c>
      <c r="AD17" s="68" t="s">
        <v>984</v>
      </c>
      <c r="AE17" s="157" t="n">
        <f aca="false">COUNTIF($R$6:$R$125,"D+C")</f>
        <v>19</v>
      </c>
    </row>
    <row r="18" customFormat="false" ht="19.5" hidden="false" customHeight="true" outlineLevel="0" collapsed="false">
      <c r="A18" s="151" t="s">
        <v>372</v>
      </c>
      <c r="B18" s="69" t="s">
        <v>985</v>
      </c>
      <c r="C18" s="152" t="s">
        <v>905</v>
      </c>
      <c r="D18" s="68" t="s">
        <v>986</v>
      </c>
      <c r="E18" s="68" t="s">
        <v>987</v>
      </c>
      <c r="F18" s="152" t="s">
        <v>876</v>
      </c>
      <c r="G18" s="152" t="s">
        <v>988</v>
      </c>
      <c r="H18" s="68" t="s">
        <v>989</v>
      </c>
      <c r="I18" s="152" t="s">
        <v>903</v>
      </c>
      <c r="J18" s="152" t="s">
        <v>878</v>
      </c>
      <c r="K18" s="153" t="n">
        <f aca="false">IFERROR(INDEX($AB$6:$AB$12,MATCH($I18,$AA$6:$AA$12,0)),"")</f>
        <v>1</v>
      </c>
      <c r="L18" s="153" t="n">
        <f aca="false">IFERROR(INDEX($AB$6:$AB$12,MATCH($J18,$AA$6:$AA$12,0)),"")</f>
        <v>2</v>
      </c>
      <c r="M18" s="67" t="n">
        <f aca="false">IF(OR($K18="",$L18=""),"",$L18-$K18)</f>
        <v>1</v>
      </c>
      <c r="N18" s="152" t="s">
        <v>866</v>
      </c>
      <c r="O18" s="32" t="n">
        <f aca="false">IFERROR(VALUE(LEFT($N18,1)),"")</f>
        <v>4</v>
      </c>
      <c r="P18" s="154" t="s">
        <v>990</v>
      </c>
      <c r="Q18" s="69" t="s">
        <v>912</v>
      </c>
      <c r="R18" s="69" t="str">
        <f aca="false">IF(ISNUMBER(SEARCH("D+C",$Q18)),"D+C",IF(OR($Q18="D",ISNUMBER(SEARCH("D par éditeur",$Q18))),"D",IF(OR($Q18="P",ISNUMBER(SEARCH("P recherche",$Q18))),"P",IF($Q18="A","A",IF(ISNUMBER(SEARCH("PNO",$Q18)),"PNO","")))))</f>
        <v>PNO</v>
      </c>
      <c r="S18" s="152" t="str">
        <f aca="false">IF(OR(ISNUMBER(SEARCH("Annexe III 4",$P18)),ISNUMBER(SEARCH("Annexe III 5",$P18))),"Oui","Non")</f>
        <v>Non</v>
      </c>
      <c r="T18" s="154" t="s">
        <v>991</v>
      </c>
      <c r="U18" s="154" t="s">
        <v>914</v>
      </c>
      <c r="V18" s="155"/>
      <c r="AD18" s="68" t="s">
        <v>992</v>
      </c>
      <c r="AE18" s="157" t="n">
        <f aca="false">COUNTIF($R$6:$R$125,"D")</f>
        <v>21</v>
      </c>
    </row>
    <row r="19" customFormat="false" ht="19.5" hidden="false" customHeight="true" outlineLevel="0" collapsed="false">
      <c r="A19" s="151" t="s">
        <v>372</v>
      </c>
      <c r="B19" s="69" t="s">
        <v>993</v>
      </c>
      <c r="C19" s="152" t="s">
        <v>905</v>
      </c>
      <c r="D19" s="68" t="s">
        <v>994</v>
      </c>
      <c r="E19" s="68" t="s">
        <v>995</v>
      </c>
      <c r="F19" s="152" t="s">
        <v>888</v>
      </c>
      <c r="G19" s="152" t="s">
        <v>51</v>
      </c>
      <c r="H19" s="68" t="s">
        <v>996</v>
      </c>
      <c r="I19" s="152" t="s">
        <v>878</v>
      </c>
      <c r="J19" s="152" t="s">
        <v>865</v>
      </c>
      <c r="K19" s="153" t="n">
        <f aca="false">IFERROR(INDEX($AB$6:$AB$12,MATCH($I19,$AA$6:$AA$12,0)),"")</f>
        <v>2</v>
      </c>
      <c r="L19" s="153" t="n">
        <f aca="false">IFERROR(INDEX($AB$6:$AB$12,MATCH($J19,$AA$6:$AA$12,0)),"")</f>
        <v>4</v>
      </c>
      <c r="M19" s="67" t="n">
        <f aca="false">IF(OR($K19="",$L19=""),"",$L19-$K19)</f>
        <v>2</v>
      </c>
      <c r="N19" s="152" t="s">
        <v>910</v>
      </c>
      <c r="O19" s="32" t="n">
        <f aca="false">IFERROR(VALUE(LEFT($N19,1)),"")</f>
        <v>3</v>
      </c>
      <c r="P19" s="154" t="s">
        <v>997</v>
      </c>
      <c r="Q19" s="69" t="s">
        <v>912</v>
      </c>
      <c r="R19" s="69" t="str">
        <f aca="false">IF(ISNUMBER(SEARCH("D+C",$Q19)),"D+C",IF(OR($Q19="D",ISNUMBER(SEARCH("D par éditeur",$Q19))),"D",IF(OR($Q19="P",ISNUMBER(SEARCH("P recherche",$Q19))),"P",IF($Q19="A","A",IF(ISNUMBER(SEARCH("PNO",$Q19)),"PNO","")))))</f>
        <v>PNO</v>
      </c>
      <c r="S19" s="152" t="str">
        <f aca="false">IF(OR(ISNUMBER(SEARCH("Annexe III 4",$P19)),ISNUMBER(SEARCH("Annexe III 5",$P19))),"Oui","Non")</f>
        <v>Non</v>
      </c>
      <c r="T19" s="154" t="s">
        <v>950</v>
      </c>
      <c r="U19" s="154" t="s">
        <v>914</v>
      </c>
      <c r="V19" s="155"/>
      <c r="AD19" s="68" t="s">
        <v>998</v>
      </c>
      <c r="AE19" s="157" t="n">
        <f aca="false">COUNTIF($R$6:$R$125,"P")</f>
        <v>7</v>
      </c>
    </row>
    <row r="20" customFormat="false" ht="19.5" hidden="false" customHeight="true" outlineLevel="0" collapsed="false">
      <c r="A20" s="151" t="s">
        <v>372</v>
      </c>
      <c r="B20" s="69" t="s">
        <v>999</v>
      </c>
      <c r="C20" s="152" t="s">
        <v>905</v>
      </c>
      <c r="D20" s="68" t="s">
        <v>1000</v>
      </c>
      <c r="E20" s="68" t="s">
        <v>1001</v>
      </c>
      <c r="F20" s="152" t="s">
        <v>862</v>
      </c>
      <c r="G20" s="152" t="s">
        <v>51</v>
      </c>
      <c r="H20" s="68" t="s">
        <v>1002</v>
      </c>
      <c r="I20" s="152" t="s">
        <v>903</v>
      </c>
      <c r="J20" s="152" t="s">
        <v>864</v>
      </c>
      <c r="K20" s="153" t="n">
        <f aca="false">IFERROR(INDEX($AB$6:$AB$12,MATCH($I20,$AA$6:$AA$12,0)),"")</f>
        <v>1</v>
      </c>
      <c r="L20" s="153" t="n">
        <f aca="false">IFERROR(INDEX($AB$6:$AB$12,MATCH($J20,$AA$6:$AA$12,0)),"")</f>
        <v>3</v>
      </c>
      <c r="M20" s="67" t="n">
        <f aca="false">IF(OR($K20="",$L20=""),"",$L20-$K20)</f>
        <v>2</v>
      </c>
      <c r="N20" s="152" t="s">
        <v>879</v>
      </c>
      <c r="O20" s="32" t="n">
        <f aca="false">IFERROR(VALUE(LEFT($N20,1)),"")</f>
        <v>2</v>
      </c>
      <c r="P20" s="154" t="s">
        <v>1003</v>
      </c>
      <c r="Q20" s="69" t="s">
        <v>912</v>
      </c>
      <c r="R20" s="69" t="str">
        <f aca="false">IF(ISNUMBER(SEARCH("D+C",$Q20)),"D+C",IF(OR($Q20="D",ISNUMBER(SEARCH("D par éditeur",$Q20))),"D",IF(OR($Q20="P",ISNUMBER(SEARCH("P recherche",$Q20))),"P",IF($Q20="A","A",IF(ISNUMBER(SEARCH("PNO",$Q20)),"PNO","")))))</f>
        <v>PNO</v>
      </c>
      <c r="S20" s="152" t="str">
        <f aca="false">IF(OR(ISNUMBER(SEARCH("Annexe III 4",$P20)),ISNUMBER(SEARCH("Annexe III 5",$P20))),"Oui","Non")</f>
        <v>Non</v>
      </c>
      <c r="T20" s="154" t="s">
        <v>950</v>
      </c>
      <c r="U20" s="154" t="s">
        <v>914</v>
      </c>
      <c r="V20" s="155"/>
      <c r="AD20" s="68" t="s">
        <v>1004</v>
      </c>
      <c r="AE20" s="157" t="n">
        <f aca="false">COUNTIF($R$6:$R$125,"A")</f>
        <v>8</v>
      </c>
    </row>
    <row r="21" customFormat="false" ht="19.5" hidden="false" customHeight="true" outlineLevel="0" collapsed="false">
      <c r="A21" s="151" t="s">
        <v>372</v>
      </c>
      <c r="B21" s="69" t="s">
        <v>1005</v>
      </c>
      <c r="C21" s="152" t="s">
        <v>905</v>
      </c>
      <c r="D21" s="68" t="s">
        <v>1006</v>
      </c>
      <c r="E21" s="68" t="s">
        <v>1007</v>
      </c>
      <c r="F21" s="152" t="s">
        <v>876</v>
      </c>
      <c r="G21" s="152" t="s">
        <v>876</v>
      </c>
      <c r="H21" s="68" t="s">
        <v>1008</v>
      </c>
      <c r="I21" s="152" t="s">
        <v>878</v>
      </c>
      <c r="J21" s="152" t="s">
        <v>878</v>
      </c>
      <c r="K21" s="153" t="n">
        <f aca="false">IFERROR(INDEX($AB$6:$AB$12,MATCH($I21,$AA$6:$AA$12,0)),"")</f>
        <v>2</v>
      </c>
      <c r="L21" s="153" t="n">
        <f aca="false">IFERROR(INDEX($AB$6:$AB$12,MATCH($J21,$AA$6:$AA$12,0)),"")</f>
        <v>2</v>
      </c>
      <c r="M21" s="67" t="n">
        <f aca="false">IF(OR($K21="",$L21=""),"",$L21-$K21)</f>
        <v>0</v>
      </c>
      <c r="N21" s="152" t="s">
        <v>910</v>
      </c>
      <c r="O21" s="32" t="n">
        <f aca="false">IFERROR(VALUE(LEFT($N21,1)),"")</f>
        <v>3</v>
      </c>
      <c r="P21" s="154" t="s">
        <v>1009</v>
      </c>
      <c r="Q21" s="69" t="s">
        <v>959</v>
      </c>
      <c r="R21" s="69" t="str">
        <f aca="false">IF(ISNUMBER(SEARCH("D+C",$Q21)),"D+C",IF(OR($Q21="D",ISNUMBER(SEARCH("D par éditeur",$Q21))),"D",IF(OR($Q21="P",ISNUMBER(SEARCH("P recherche",$Q21))),"P",IF($Q21="A","A",IF(ISNUMBER(SEARCH("PNO",$Q21)),"PNO","")))))</f>
        <v>D</v>
      </c>
      <c r="S21" s="152" t="str">
        <f aca="false">IF(OR(ISNUMBER(SEARCH("Annexe III 4",$P21)),ISNUMBER(SEARCH("Annexe III 5",$P21))),"Oui","Non")</f>
        <v>Non</v>
      </c>
      <c r="T21" s="154" t="s">
        <v>1010</v>
      </c>
      <c r="U21" s="154" t="s">
        <v>1011</v>
      </c>
      <c r="V21" s="155" t="s">
        <v>1012</v>
      </c>
      <c r="AD21" s="68" t="s">
        <v>1013</v>
      </c>
      <c r="AE21" s="157" t="n">
        <f aca="false">COUNTIF($R$6:$R$125,"PNO")</f>
        <v>65</v>
      </c>
    </row>
    <row r="22" customFormat="false" ht="19.5" hidden="false" customHeight="true" outlineLevel="0" collapsed="false">
      <c r="A22" s="151" t="s">
        <v>372</v>
      </c>
      <c r="B22" s="69" t="s">
        <v>1014</v>
      </c>
      <c r="C22" s="152" t="s">
        <v>905</v>
      </c>
      <c r="D22" s="68" t="s">
        <v>1015</v>
      </c>
      <c r="E22" s="68" t="s">
        <v>1016</v>
      </c>
      <c r="F22" s="152" t="s">
        <v>862</v>
      </c>
      <c r="G22" s="152" t="s">
        <v>978</v>
      </c>
      <c r="H22" s="68" t="s">
        <v>1017</v>
      </c>
      <c r="I22" s="152" t="s">
        <v>903</v>
      </c>
      <c r="J22" s="152" t="s">
        <v>878</v>
      </c>
      <c r="K22" s="153" t="n">
        <f aca="false">IFERROR(INDEX($AB$6:$AB$12,MATCH($I22,$AA$6:$AA$12,0)),"")</f>
        <v>1</v>
      </c>
      <c r="L22" s="153" t="n">
        <f aca="false">IFERROR(INDEX($AB$6:$AB$12,MATCH($J22,$AA$6:$AA$12,0)),"")</f>
        <v>2</v>
      </c>
      <c r="M22" s="67" t="n">
        <f aca="false">IF(OR($K22="",$L22=""),"",$L22-$K22)</f>
        <v>1</v>
      </c>
      <c r="N22" s="152" t="s">
        <v>1018</v>
      </c>
      <c r="O22" s="32" t="n">
        <f aca="false">IFERROR(VALUE(LEFT($N22,1)),"")</f>
        <v>1</v>
      </c>
      <c r="P22" s="154" t="s">
        <v>1019</v>
      </c>
      <c r="Q22" s="69" t="s">
        <v>912</v>
      </c>
      <c r="R22" s="69" t="str">
        <f aca="false">IF(ISNUMBER(SEARCH("D+C",$Q22)),"D+C",IF(OR($Q22="D",ISNUMBER(SEARCH("D par éditeur",$Q22))),"D",IF(OR($Q22="P",ISNUMBER(SEARCH("P recherche",$Q22))),"P",IF($Q22="A","A",IF(ISNUMBER(SEARCH("PNO",$Q22)),"PNO","")))))</f>
        <v>PNO</v>
      </c>
      <c r="S22" s="152" t="str">
        <f aca="false">IF(OR(ISNUMBER(SEARCH("Annexe III 4",$P22)),ISNUMBER(SEARCH("Annexe III 5",$P22))),"Oui","Non")</f>
        <v>Non</v>
      </c>
      <c r="T22" s="154" t="s">
        <v>950</v>
      </c>
      <c r="U22" s="154" t="s">
        <v>914</v>
      </c>
      <c r="V22" s="155"/>
      <c r="AD22" s="68" t="s">
        <v>1020</v>
      </c>
      <c r="AE22" s="157" t="n">
        <f aca="false">SUMPRODUCT(($M$6:$M$125&gt;0)*1)</f>
        <v>88</v>
      </c>
    </row>
    <row r="23" customFormat="false" ht="19.5" hidden="false" customHeight="true" outlineLevel="0" collapsed="false">
      <c r="A23" s="151" t="s">
        <v>372</v>
      </c>
      <c r="B23" s="69" t="s">
        <v>402</v>
      </c>
      <c r="C23" s="152" t="s">
        <v>905</v>
      </c>
      <c r="D23" s="68" t="s">
        <v>401</v>
      </c>
      <c r="E23" s="68" t="s">
        <v>1021</v>
      </c>
      <c r="F23" s="152" t="s">
        <v>862</v>
      </c>
      <c r="G23" s="152" t="s">
        <v>1022</v>
      </c>
      <c r="H23" s="68" t="s">
        <v>1023</v>
      </c>
      <c r="I23" s="152" t="s">
        <v>864</v>
      </c>
      <c r="J23" s="152" t="s">
        <v>864</v>
      </c>
      <c r="K23" s="153" t="n">
        <f aca="false">IFERROR(INDEX($AB$6:$AB$12,MATCH($I23,$AA$6:$AA$12,0)),"")</f>
        <v>3</v>
      </c>
      <c r="L23" s="153" t="n">
        <f aca="false">IFERROR(INDEX($AB$6:$AB$12,MATCH($J23,$AA$6:$AA$12,0)),"")</f>
        <v>3</v>
      </c>
      <c r="M23" s="67" t="n">
        <f aca="false">IF(OR($K23="",$L23=""),"",$L23-$K23)</f>
        <v>0</v>
      </c>
      <c r="N23" s="152" t="s">
        <v>879</v>
      </c>
      <c r="O23" s="32" t="n">
        <f aca="false">IFERROR(VALUE(LEFT($N23,1)),"")</f>
        <v>2</v>
      </c>
      <c r="P23" s="154" t="s">
        <v>1024</v>
      </c>
      <c r="Q23" s="69" t="s">
        <v>912</v>
      </c>
      <c r="R23" s="69" t="str">
        <f aca="false">IF(ISNUMBER(SEARCH("D+C",$Q23)),"D+C",IF(OR($Q23="D",ISNUMBER(SEARCH("D par éditeur",$Q23))),"D",IF(OR($Q23="P",ISNUMBER(SEARCH("P recherche",$Q23))),"P",IF($Q23="A","A",IF(ISNUMBER(SEARCH("PNO",$Q23)),"PNO","")))))</f>
        <v>PNO</v>
      </c>
      <c r="S23" s="152" t="str">
        <f aca="false">IF(OR(ISNUMBER(SEARCH("Annexe III 4",$P23)),ISNUMBER(SEARCH("Annexe III 5",$P23))),"Oui","Non")</f>
        <v>Non</v>
      </c>
      <c r="T23" s="154" t="s">
        <v>913</v>
      </c>
      <c r="U23" s="154" t="s">
        <v>914</v>
      </c>
      <c r="V23" s="155"/>
      <c r="AD23" s="68" t="s">
        <v>1025</v>
      </c>
      <c r="AE23" s="157" t="n">
        <f aca="false">SUMPRODUCT(($L$6:$L$125&gt;=3)*($K$6:$K$125&lt;=2))</f>
        <v>48</v>
      </c>
    </row>
    <row r="24" customFormat="false" ht="19.5" hidden="false" customHeight="true" outlineLevel="0" collapsed="false">
      <c r="A24" s="151" t="s">
        <v>372</v>
      </c>
      <c r="B24" s="69" t="s">
        <v>1026</v>
      </c>
      <c r="C24" s="152" t="s">
        <v>905</v>
      </c>
      <c r="D24" s="68" t="s">
        <v>1027</v>
      </c>
      <c r="E24" s="68" t="s">
        <v>1028</v>
      </c>
      <c r="F24" s="152" t="s">
        <v>888</v>
      </c>
      <c r="G24" s="152" t="s">
        <v>1029</v>
      </c>
      <c r="H24" s="68" t="s">
        <v>1030</v>
      </c>
      <c r="I24" s="152" t="s">
        <v>864</v>
      </c>
      <c r="J24" s="152" t="s">
        <v>865</v>
      </c>
      <c r="K24" s="153" t="n">
        <f aca="false">IFERROR(INDEX($AB$6:$AB$12,MATCH($I24,$AA$6:$AA$12,0)),"")</f>
        <v>3</v>
      </c>
      <c r="L24" s="153" t="n">
        <f aca="false">IFERROR(INDEX($AB$6:$AB$12,MATCH($J24,$AA$6:$AA$12,0)),"")</f>
        <v>4</v>
      </c>
      <c r="M24" s="67" t="n">
        <f aca="false">IF(OR($K24="",$L24=""),"",$L24-$K24)</f>
        <v>1</v>
      </c>
      <c r="N24" s="152" t="s">
        <v>866</v>
      </c>
      <c r="O24" s="32" t="n">
        <f aca="false">IFERROR(VALUE(LEFT($N24,1)),"")</f>
        <v>4</v>
      </c>
      <c r="P24" s="154" t="s">
        <v>1031</v>
      </c>
      <c r="Q24" s="69" t="s">
        <v>891</v>
      </c>
      <c r="R24" s="69" t="str">
        <f aca="false">IF(ISNUMBER(SEARCH("D+C",$Q24)),"D+C",IF(OR($Q24="D",ISNUMBER(SEARCH("D par éditeur",$Q24))),"D",IF(OR($Q24="P",ISNUMBER(SEARCH("P recherche",$Q24))),"P",IF($Q24="A","A",IF(ISNUMBER(SEARCH("PNO",$Q24)),"PNO","")))))</f>
        <v>P</v>
      </c>
      <c r="S24" s="152" t="str">
        <f aca="false">IF(OR(ISNUMBER(SEARCH("Annexe III 4",$P24)),ISNUMBER(SEARCH("Annexe III 5",$P24))),"Oui","Non")</f>
        <v>Non</v>
      </c>
      <c r="T24" s="154" t="s">
        <v>1032</v>
      </c>
      <c r="U24" s="154" t="s">
        <v>1033</v>
      </c>
      <c r="V24" s="155" t="s">
        <v>1034</v>
      </c>
      <c r="AD24" s="68" t="s">
        <v>1035</v>
      </c>
      <c r="AE24" s="157" t="n">
        <f aca="false">COUNTIF($S$6:$S$125,"Oui")</f>
        <v>10</v>
      </c>
    </row>
    <row r="25" customFormat="false" ht="19.5" hidden="false" customHeight="true" outlineLevel="0" collapsed="false">
      <c r="A25" s="151" t="s">
        <v>372</v>
      </c>
      <c r="B25" s="69" t="s">
        <v>1036</v>
      </c>
      <c r="C25" s="152" t="s">
        <v>905</v>
      </c>
      <c r="D25" s="68" t="s">
        <v>1037</v>
      </c>
      <c r="E25" s="68" t="s">
        <v>1038</v>
      </c>
      <c r="F25" s="152" t="s">
        <v>888</v>
      </c>
      <c r="G25" s="152" t="s">
        <v>51</v>
      </c>
      <c r="H25" s="68" t="s">
        <v>1039</v>
      </c>
      <c r="I25" s="152" t="s">
        <v>903</v>
      </c>
      <c r="J25" s="152" t="s">
        <v>878</v>
      </c>
      <c r="K25" s="153" t="n">
        <f aca="false">IFERROR(INDEX($AB$6:$AB$12,MATCH($I25,$AA$6:$AA$12,0)),"")</f>
        <v>1</v>
      </c>
      <c r="L25" s="153" t="n">
        <f aca="false">IFERROR(INDEX($AB$6:$AB$12,MATCH($J25,$AA$6:$AA$12,0)),"")</f>
        <v>2</v>
      </c>
      <c r="M25" s="67" t="n">
        <f aca="false">IF(OR($K25="",$L25=""),"",$L25-$K25)</f>
        <v>1</v>
      </c>
      <c r="N25" s="152" t="s">
        <v>910</v>
      </c>
      <c r="O25" s="32" t="n">
        <f aca="false">IFERROR(VALUE(LEFT($N25,1)),"")</f>
        <v>3</v>
      </c>
      <c r="P25" s="154" t="s">
        <v>1040</v>
      </c>
      <c r="Q25" s="69" t="s">
        <v>912</v>
      </c>
      <c r="R25" s="69" t="str">
        <f aca="false">IF(ISNUMBER(SEARCH("D+C",$Q25)),"D+C",IF(OR($Q25="D",ISNUMBER(SEARCH("D par éditeur",$Q25))),"D",IF(OR($Q25="P",ISNUMBER(SEARCH("P recherche",$Q25))),"P",IF($Q25="A","A",IF(ISNUMBER(SEARCH("PNO",$Q25)),"PNO","")))))</f>
        <v>PNO</v>
      </c>
      <c r="S25" s="152" t="str">
        <f aca="false">IF(OR(ISNUMBER(SEARCH("Annexe III 4",$P25)),ISNUMBER(SEARCH("Annexe III 5",$P25))),"Oui","Non")</f>
        <v>Non</v>
      </c>
      <c r="T25" s="154" t="s">
        <v>950</v>
      </c>
      <c r="U25" s="154" t="s">
        <v>914</v>
      </c>
      <c r="V25" s="155"/>
      <c r="AD25" s="68" t="s">
        <v>1041</v>
      </c>
      <c r="AE25" s="157" t="n">
        <f aca="false">COUNTIF($G$6:$G$125,"*aucune*")</f>
        <v>56</v>
      </c>
    </row>
    <row r="26" customFormat="false" ht="19.5" hidden="false" customHeight="true" outlineLevel="0" collapsed="false">
      <c r="A26" s="151" t="s">
        <v>372</v>
      </c>
      <c r="B26" s="69" t="s">
        <v>1042</v>
      </c>
      <c r="C26" s="152" t="s">
        <v>905</v>
      </c>
      <c r="D26" s="68" t="s">
        <v>1043</v>
      </c>
      <c r="E26" s="68" t="s">
        <v>1044</v>
      </c>
      <c r="F26" s="152" t="s">
        <v>888</v>
      </c>
      <c r="G26" s="152" t="s">
        <v>51</v>
      </c>
      <c r="H26" s="68" t="s">
        <v>1045</v>
      </c>
      <c r="I26" s="152" t="s">
        <v>878</v>
      </c>
      <c r="J26" s="152" t="s">
        <v>864</v>
      </c>
      <c r="K26" s="153" t="n">
        <f aca="false">IFERROR(INDEX($AB$6:$AB$12,MATCH($I26,$AA$6:$AA$12,0)),"")</f>
        <v>2</v>
      </c>
      <c r="L26" s="153" t="n">
        <f aca="false">IFERROR(INDEX($AB$6:$AB$12,MATCH($J26,$AA$6:$AA$12,0)),"")</f>
        <v>3</v>
      </c>
      <c r="M26" s="67" t="n">
        <f aca="false">IF(OR($K26="",$L26=""),"",$L26-$K26)</f>
        <v>1</v>
      </c>
      <c r="N26" s="152" t="s">
        <v>910</v>
      </c>
      <c r="O26" s="32" t="n">
        <f aca="false">IFERROR(VALUE(LEFT($N26,1)),"")</f>
        <v>3</v>
      </c>
      <c r="P26" s="154" t="s">
        <v>1046</v>
      </c>
      <c r="Q26" s="69" t="s">
        <v>912</v>
      </c>
      <c r="R26" s="69" t="str">
        <f aca="false">IF(ISNUMBER(SEARCH("D+C",$Q26)),"D+C",IF(OR($Q26="D",ISNUMBER(SEARCH("D par éditeur",$Q26))),"D",IF(OR($Q26="P",ISNUMBER(SEARCH("P recherche",$Q26))),"P",IF($Q26="A","A",IF(ISNUMBER(SEARCH("PNO",$Q26)),"PNO","")))))</f>
        <v>PNO</v>
      </c>
      <c r="S26" s="152" t="str">
        <f aca="false">IF(OR(ISNUMBER(SEARCH("Annexe III 4",$P26)),ISNUMBER(SEARCH("Annexe III 5",$P26))),"Oui","Non")</f>
        <v>Non</v>
      </c>
      <c r="T26" s="154" t="s">
        <v>950</v>
      </c>
      <c r="U26" s="154" t="s">
        <v>914</v>
      </c>
      <c r="V26" s="155"/>
      <c r="AD26" s="68" t="s">
        <v>1047</v>
      </c>
      <c r="AE26" s="157" t="n">
        <f aca="false">COUNTIF($G$6:$G$125,"*N3*")+COUNTIF($G$6:$G$125,"*N4*")</f>
        <v>20</v>
      </c>
    </row>
    <row r="27" customFormat="false" ht="19.5" hidden="false" customHeight="true" outlineLevel="0" collapsed="false">
      <c r="A27" s="151" t="s">
        <v>372</v>
      </c>
      <c r="B27" s="69" t="s">
        <v>1048</v>
      </c>
      <c r="C27" s="152" t="s">
        <v>905</v>
      </c>
      <c r="D27" s="68" t="s">
        <v>1049</v>
      </c>
      <c r="E27" s="68" t="s">
        <v>1050</v>
      </c>
      <c r="F27" s="152" t="s">
        <v>876</v>
      </c>
      <c r="G27" s="152" t="s">
        <v>876</v>
      </c>
      <c r="H27" s="68" t="s">
        <v>1051</v>
      </c>
      <c r="I27" s="152" t="s">
        <v>878</v>
      </c>
      <c r="J27" s="152" t="s">
        <v>864</v>
      </c>
      <c r="K27" s="153" t="n">
        <f aca="false">IFERROR(INDEX($AB$6:$AB$12,MATCH($I27,$AA$6:$AA$12,0)),"")</f>
        <v>2</v>
      </c>
      <c r="L27" s="153" t="n">
        <f aca="false">IFERROR(INDEX($AB$6:$AB$12,MATCH($J27,$AA$6:$AA$12,0)),"")</f>
        <v>3</v>
      </c>
      <c r="M27" s="67" t="n">
        <f aca="false">IF(OR($K27="",$L27=""),"",$L27-$K27)</f>
        <v>1</v>
      </c>
      <c r="N27" s="152" t="s">
        <v>879</v>
      </c>
      <c r="O27" s="32" t="n">
        <f aca="false">IFERROR(VALUE(LEFT($N27,1)),"")</f>
        <v>2</v>
      </c>
      <c r="P27" s="154" t="s">
        <v>1052</v>
      </c>
      <c r="Q27" s="69" t="s">
        <v>868</v>
      </c>
      <c r="R27" s="69" t="str">
        <f aca="false">IF(ISNUMBER(SEARCH("D+C",$Q27)),"D+C",IF(OR($Q27="D",ISNUMBER(SEARCH("D par éditeur",$Q27))),"D",IF(OR($Q27="P",ISNUMBER(SEARCH("P recherche",$Q27))),"P",IF($Q27="A","A",IF(ISNUMBER(SEARCH("PNO",$Q27)),"PNO","")))))</f>
        <v>D+C</v>
      </c>
      <c r="S27" s="152" t="str">
        <f aca="false">IF(OR(ISNUMBER(SEARCH("Annexe III 4",$P27)),ISNUMBER(SEARCH("Annexe III 5",$P27))),"Oui","Non")</f>
        <v>Non</v>
      </c>
      <c r="T27" s="154" t="s">
        <v>1053</v>
      </c>
      <c r="U27" s="154" t="s">
        <v>1054</v>
      </c>
      <c r="V27" s="155" t="s">
        <v>1055</v>
      </c>
      <c r="AD27" s="68" t="s">
        <v>1056</v>
      </c>
      <c r="AE27" s="158" t="n">
        <f aca="false">IFERROR(AVERAGE($O$6:$O$125),"")</f>
        <v>3.325</v>
      </c>
    </row>
    <row r="28" customFormat="false" ht="19.5" hidden="false" customHeight="true" outlineLevel="0" collapsed="false">
      <c r="A28" s="151" t="s">
        <v>1057</v>
      </c>
      <c r="B28" s="69" t="s">
        <v>1058</v>
      </c>
      <c r="C28" s="152" t="s">
        <v>860</v>
      </c>
      <c r="D28" s="68" t="s">
        <v>1059</v>
      </c>
      <c r="E28" s="68" t="s">
        <v>1060</v>
      </c>
      <c r="F28" s="152" t="s">
        <v>888</v>
      </c>
      <c r="G28" s="152" t="s">
        <v>888</v>
      </c>
      <c r="H28" s="68" t="s">
        <v>1061</v>
      </c>
      <c r="I28" s="152" t="s">
        <v>864</v>
      </c>
      <c r="J28" s="152" t="s">
        <v>865</v>
      </c>
      <c r="K28" s="153" t="n">
        <f aca="false">IFERROR(INDEX($AB$6:$AB$12,MATCH($I28,$AA$6:$AA$12,0)),"")</f>
        <v>3</v>
      </c>
      <c r="L28" s="153" t="n">
        <f aca="false">IFERROR(INDEX($AB$6:$AB$12,MATCH($J28,$AA$6:$AA$12,0)),"")</f>
        <v>4</v>
      </c>
      <c r="M28" s="67" t="n">
        <f aca="false">IF(OR($K28="",$L28=""),"",$L28-$K28)</f>
        <v>1</v>
      </c>
      <c r="N28" s="152" t="s">
        <v>910</v>
      </c>
      <c r="O28" s="32" t="n">
        <f aca="false">IFERROR(VALUE(LEFT($N28,1)),"")</f>
        <v>3</v>
      </c>
      <c r="P28" s="154" t="s">
        <v>1062</v>
      </c>
      <c r="Q28" s="69" t="s">
        <v>868</v>
      </c>
      <c r="R28" s="69" t="str">
        <f aca="false">IF(ISNUMBER(SEARCH("D+C",$Q28)),"D+C",IF(OR($Q28="D",ISNUMBER(SEARCH("D par éditeur",$Q28))),"D",IF(OR($Q28="P",ISNUMBER(SEARCH("P recherche",$Q28))),"P",IF($Q28="A","A",IF(ISNUMBER(SEARCH("PNO",$Q28)),"PNO","")))))</f>
        <v>D+C</v>
      </c>
      <c r="S28" s="152" t="str">
        <f aca="false">IF(OR(ISNUMBER(SEARCH("Annexe III 4",$P28)),ISNUMBER(SEARCH("Annexe III 5",$P28))),"Oui","Non")</f>
        <v>Non</v>
      </c>
      <c r="T28" s="154" t="s">
        <v>1063</v>
      </c>
      <c r="U28" s="154" t="s">
        <v>1064</v>
      </c>
      <c r="V28" s="155" t="s">
        <v>1065</v>
      </c>
      <c r="AD28" s="68" t="s">
        <v>1066</v>
      </c>
      <c r="AE28" s="157" t="n">
        <f aca="false">COUNTIF($C$6:$C$125,"non")</f>
        <v>76</v>
      </c>
    </row>
    <row r="29" customFormat="false" ht="91.75" hidden="false" customHeight="false" outlineLevel="0" collapsed="false">
      <c r="A29" s="151" t="s">
        <v>1057</v>
      </c>
      <c r="B29" s="69" t="s">
        <v>1067</v>
      </c>
      <c r="C29" s="152" t="s">
        <v>860</v>
      </c>
      <c r="D29" s="68" t="s">
        <v>1068</v>
      </c>
      <c r="E29" s="68" t="s">
        <v>1069</v>
      </c>
      <c r="F29" s="152" t="s">
        <v>888</v>
      </c>
      <c r="G29" s="152" t="s">
        <v>919</v>
      </c>
      <c r="H29" s="68" t="s">
        <v>1070</v>
      </c>
      <c r="I29" s="152" t="s">
        <v>864</v>
      </c>
      <c r="J29" s="152" t="s">
        <v>865</v>
      </c>
      <c r="K29" s="153" t="n">
        <f aca="false">IFERROR(INDEX($AB$6:$AB$12,MATCH($I29,$AA$6:$AA$12,0)),"")</f>
        <v>3</v>
      </c>
      <c r="L29" s="153" t="n">
        <f aca="false">IFERROR(INDEX($AB$6:$AB$12,MATCH($J29,$AA$6:$AA$12,0)),"")</f>
        <v>4</v>
      </c>
      <c r="M29" s="67" t="n">
        <f aca="false">IF(OR($K29="",$L29=""),"",$L29-$K29)</f>
        <v>1</v>
      </c>
      <c r="N29" s="152" t="s">
        <v>910</v>
      </c>
      <c r="O29" s="32" t="n">
        <f aca="false">IFERROR(VALUE(LEFT($N29,1)),"")</f>
        <v>3</v>
      </c>
      <c r="P29" s="154" t="s">
        <v>1071</v>
      </c>
      <c r="Q29" s="69" t="s">
        <v>1072</v>
      </c>
      <c r="R29" s="69" t="str">
        <f aca="false">IF(ISNUMBER(SEARCH("D+C",$Q29)),"D+C",IF(OR($Q29="D",ISNUMBER(SEARCH("D par éditeur",$Q29))),"D",IF(OR($Q29="P",ISNUMBER(SEARCH("P recherche",$Q29))),"P",IF($Q29="A","A",IF(ISNUMBER(SEARCH("PNO",$Q29)),"PNO","")))))</f>
        <v>D+C</v>
      </c>
      <c r="S29" s="152" t="str">
        <f aca="false">IF(OR(ISNUMBER(SEARCH("Annexe III 4",$P29)),ISNUMBER(SEARCH("Annexe III 5",$P29))),"Oui","Non")</f>
        <v>Non</v>
      </c>
      <c r="T29" s="154" t="s">
        <v>1073</v>
      </c>
      <c r="U29" s="154" t="s">
        <v>1074</v>
      </c>
      <c r="V29" s="155" t="s">
        <v>1075</v>
      </c>
    </row>
    <row r="30" customFormat="false" ht="19.4" hidden="false" customHeight="true" outlineLevel="0" collapsed="false">
      <c r="A30" s="151" t="s">
        <v>1057</v>
      </c>
      <c r="B30" s="69" t="s">
        <v>1076</v>
      </c>
      <c r="C30" s="152" t="s">
        <v>860</v>
      </c>
      <c r="D30" s="68" t="s">
        <v>1077</v>
      </c>
      <c r="E30" s="68" t="s">
        <v>1078</v>
      </c>
      <c r="F30" s="152" t="s">
        <v>876</v>
      </c>
      <c r="G30" s="152" t="s">
        <v>876</v>
      </c>
      <c r="H30" s="68" t="s">
        <v>1079</v>
      </c>
      <c r="I30" s="152" t="s">
        <v>878</v>
      </c>
      <c r="J30" s="152" t="s">
        <v>878</v>
      </c>
      <c r="K30" s="153" t="n">
        <f aca="false">IFERROR(INDEX($AB$6:$AB$12,MATCH($I30,$AA$6:$AA$12,0)),"")</f>
        <v>2</v>
      </c>
      <c r="L30" s="153" t="n">
        <f aca="false">IFERROR(INDEX($AB$6:$AB$12,MATCH($J30,$AA$6:$AA$12,0)),"")</f>
        <v>2</v>
      </c>
      <c r="M30" s="67" t="n">
        <f aca="false">IF(OR($K30="",$L30=""),"",$L30-$K30)</f>
        <v>0</v>
      </c>
      <c r="N30" s="152" t="s">
        <v>866</v>
      </c>
      <c r="O30" s="32" t="n">
        <f aca="false">IFERROR(VALUE(LEFT($N30,1)),"")</f>
        <v>4</v>
      </c>
      <c r="P30" s="154" t="s">
        <v>1080</v>
      </c>
      <c r="Q30" s="69" t="s">
        <v>912</v>
      </c>
      <c r="R30" s="69" t="str">
        <f aca="false">IF(ISNUMBER(SEARCH("D+C",$Q30)),"D+C",IF(OR($Q30="D",ISNUMBER(SEARCH("D par éditeur",$Q30))),"D",IF(OR($Q30="P",ISNUMBER(SEARCH("P recherche",$Q30))),"P",IF($Q30="A","A",IF(ISNUMBER(SEARCH("PNO",$Q30)),"PNO","")))))</f>
        <v>PNO</v>
      </c>
      <c r="S30" s="152" t="str">
        <f aca="false">IF(OR(ISNUMBER(SEARCH("Annexe III 4",$P30)),ISNUMBER(SEARCH("Annexe III 5",$P30))),"Oui","Non")</f>
        <v>Non</v>
      </c>
      <c r="T30" s="154" t="s">
        <v>950</v>
      </c>
      <c r="U30" s="154" t="s">
        <v>1081</v>
      </c>
      <c r="V30" s="155"/>
      <c r="AD30" s="159" t="s">
        <v>1082</v>
      </c>
      <c r="AE30" s="159"/>
    </row>
    <row r="31" customFormat="false" ht="19.4" hidden="false" customHeight="false" outlineLevel="0" collapsed="false">
      <c r="A31" s="151" t="s">
        <v>1057</v>
      </c>
      <c r="B31" s="69" t="s">
        <v>1083</v>
      </c>
      <c r="C31" s="152" t="s">
        <v>860</v>
      </c>
      <c r="D31" s="68" t="s">
        <v>1084</v>
      </c>
      <c r="E31" s="68" t="s">
        <v>1085</v>
      </c>
      <c r="F31" s="152" t="s">
        <v>888</v>
      </c>
      <c r="G31" s="152" t="s">
        <v>1086</v>
      </c>
      <c r="H31" s="68" t="s">
        <v>1087</v>
      </c>
      <c r="I31" s="152" t="s">
        <v>864</v>
      </c>
      <c r="J31" s="152" t="s">
        <v>864</v>
      </c>
      <c r="K31" s="153" t="n">
        <f aca="false">IFERROR(INDEX($AB$6:$AB$12,MATCH($I31,$AA$6:$AA$12,0)),"")</f>
        <v>3</v>
      </c>
      <c r="L31" s="153" t="n">
        <f aca="false">IFERROR(INDEX($AB$6:$AB$12,MATCH($J31,$AA$6:$AA$12,0)),"")</f>
        <v>3</v>
      </c>
      <c r="M31" s="67" t="n">
        <f aca="false">IF(OR($K31="",$L31=""),"",$L31-$K31)</f>
        <v>0</v>
      </c>
      <c r="N31" s="152" t="s">
        <v>910</v>
      </c>
      <c r="O31" s="32" t="n">
        <f aca="false">IFERROR(VALUE(LEFT($N31,1)),"")</f>
        <v>3</v>
      </c>
      <c r="P31" s="154" t="s">
        <v>1088</v>
      </c>
      <c r="Q31" s="69" t="s">
        <v>1089</v>
      </c>
      <c r="R31" s="69" t="str">
        <f aca="false">IF(ISNUMBER(SEARCH("D+C",$Q31)),"D+C",IF(OR($Q31="D",ISNUMBER(SEARCH("D par éditeur",$Q31))),"D",IF(OR($Q31="P",ISNUMBER(SEARCH("P recherche",$Q31))),"P",IF($Q31="A","A",IF(ISNUMBER(SEARCH("PNO",$Q31)),"PNO","")))))</f>
        <v>D+C</v>
      </c>
      <c r="S31" s="152" t="str">
        <f aca="false">IF(OR(ISNUMBER(SEARCH("Annexe III 4",$P31)),ISNUMBER(SEARCH("Annexe III 5",$P31))),"Oui","Non")</f>
        <v>Non</v>
      </c>
      <c r="T31" s="154" t="s">
        <v>1090</v>
      </c>
      <c r="U31" s="154" t="s">
        <v>1091</v>
      </c>
      <c r="V31" s="155"/>
      <c r="AD31" s="159"/>
      <c r="AE31" s="159"/>
    </row>
    <row r="32" customFormat="false" ht="91.75" hidden="false" customHeight="false" outlineLevel="0" collapsed="false">
      <c r="A32" s="151" t="s">
        <v>1057</v>
      </c>
      <c r="B32" s="69" t="s">
        <v>1092</v>
      </c>
      <c r="C32" s="152" t="s">
        <v>860</v>
      </c>
      <c r="D32" s="68" t="s">
        <v>1093</v>
      </c>
      <c r="E32" s="68" t="s">
        <v>1094</v>
      </c>
      <c r="F32" s="152" t="s">
        <v>888</v>
      </c>
      <c r="G32" s="152" t="s">
        <v>1022</v>
      </c>
      <c r="H32" s="68" t="s">
        <v>1095</v>
      </c>
      <c r="I32" s="152" t="s">
        <v>864</v>
      </c>
      <c r="J32" s="152" t="s">
        <v>865</v>
      </c>
      <c r="K32" s="153" t="n">
        <f aca="false">IFERROR(INDEX($AB$6:$AB$12,MATCH($I32,$AA$6:$AA$12,0)),"")</f>
        <v>3</v>
      </c>
      <c r="L32" s="153" t="n">
        <f aca="false">IFERROR(INDEX($AB$6:$AB$12,MATCH($J32,$AA$6:$AA$12,0)),"")</f>
        <v>4</v>
      </c>
      <c r="M32" s="67" t="n">
        <f aca="false">IF(OR($K32="",$L32=""),"",$L32-$K32)</f>
        <v>1</v>
      </c>
      <c r="N32" s="152" t="s">
        <v>910</v>
      </c>
      <c r="O32" s="32" t="n">
        <f aca="false">IFERROR(VALUE(LEFT($N32,1)),"")</f>
        <v>3</v>
      </c>
      <c r="P32" s="154" t="s">
        <v>1096</v>
      </c>
      <c r="Q32" s="69" t="s">
        <v>912</v>
      </c>
      <c r="R32" s="69" t="str">
        <f aca="false">IF(ISNUMBER(SEARCH("D+C",$Q32)),"D+C",IF(OR($Q32="D",ISNUMBER(SEARCH("D par éditeur",$Q32))),"D",IF(OR($Q32="P",ISNUMBER(SEARCH("P recherche",$Q32))),"P",IF($Q32="A","A",IF(ISNUMBER(SEARCH("PNO",$Q32)),"PNO","")))))</f>
        <v>PNO</v>
      </c>
      <c r="S32" s="152" t="str">
        <f aca="false">IF(OR(ISNUMBER(SEARCH("Annexe III 4",$P32)),ISNUMBER(SEARCH("Annexe III 5",$P32))),"Oui","Non")</f>
        <v>Non</v>
      </c>
      <c r="T32" s="154" t="s">
        <v>1097</v>
      </c>
      <c r="U32" s="154" t="s">
        <v>1098</v>
      </c>
      <c r="V32" s="155" t="s">
        <v>1099</v>
      </c>
      <c r="AD32" s="159"/>
      <c r="AE32" s="159"/>
    </row>
    <row r="33" customFormat="false" ht="34.3" hidden="false" customHeight="false" outlineLevel="0" collapsed="false">
      <c r="A33" s="151" t="s">
        <v>1057</v>
      </c>
      <c r="B33" s="69" t="s">
        <v>394</v>
      </c>
      <c r="C33" s="152" t="s">
        <v>860</v>
      </c>
      <c r="D33" s="68" t="s">
        <v>393</v>
      </c>
      <c r="E33" s="68" t="s">
        <v>1100</v>
      </c>
      <c r="F33" s="152" t="s">
        <v>888</v>
      </c>
      <c r="G33" s="152" t="s">
        <v>888</v>
      </c>
      <c r="H33" s="68" t="s">
        <v>1030</v>
      </c>
      <c r="I33" s="152" t="s">
        <v>864</v>
      </c>
      <c r="J33" s="152" t="s">
        <v>865</v>
      </c>
      <c r="K33" s="153" t="n">
        <f aca="false">IFERROR(INDEX($AB$6:$AB$12,MATCH($I33,$AA$6:$AA$12,0)),"")</f>
        <v>3</v>
      </c>
      <c r="L33" s="153" t="n">
        <f aca="false">IFERROR(INDEX($AB$6:$AB$12,MATCH($J33,$AA$6:$AA$12,0)),"")</f>
        <v>4</v>
      </c>
      <c r="M33" s="67" t="n">
        <f aca="false">IF(OR($K33="",$L33=""),"",$L33-$K33)</f>
        <v>1</v>
      </c>
      <c r="N33" s="152" t="s">
        <v>866</v>
      </c>
      <c r="O33" s="32" t="n">
        <f aca="false">IFERROR(VALUE(LEFT($N33,1)),"")</f>
        <v>4</v>
      </c>
      <c r="P33" s="154" t="s">
        <v>1101</v>
      </c>
      <c r="Q33" s="69" t="s">
        <v>891</v>
      </c>
      <c r="R33" s="69" t="str">
        <f aca="false">IF(ISNUMBER(SEARCH("D+C",$Q33)),"D+C",IF(OR($Q33="D",ISNUMBER(SEARCH("D par éditeur",$Q33))),"D",IF(OR($Q33="P",ISNUMBER(SEARCH("P recherche",$Q33))),"P",IF($Q33="A","A",IF(ISNUMBER(SEARCH("PNO",$Q33)),"PNO","")))))</f>
        <v>P</v>
      </c>
      <c r="S33" s="152" t="str">
        <f aca="false">IF(OR(ISNUMBER(SEARCH("Annexe III 4",$P33)),ISNUMBER(SEARCH("Annexe III 5",$P33))),"Oui","Non")</f>
        <v>Non</v>
      </c>
      <c r="T33" s="154" t="s">
        <v>1102</v>
      </c>
      <c r="U33" s="154" t="s">
        <v>1033</v>
      </c>
      <c r="V33" s="155" t="s">
        <v>1034</v>
      </c>
      <c r="AD33" s="159"/>
      <c r="AE33" s="159"/>
    </row>
    <row r="34" customFormat="false" ht="50.7" hidden="false" customHeight="false" outlineLevel="0" collapsed="false">
      <c r="A34" s="151" t="s">
        <v>1057</v>
      </c>
      <c r="B34" s="69" t="s">
        <v>1103</v>
      </c>
      <c r="C34" s="152" t="s">
        <v>905</v>
      </c>
      <c r="D34" s="68" t="s">
        <v>1104</v>
      </c>
      <c r="E34" s="68" t="s">
        <v>1105</v>
      </c>
      <c r="F34" s="152" t="s">
        <v>888</v>
      </c>
      <c r="G34" s="152" t="s">
        <v>1106</v>
      </c>
      <c r="H34" s="68" t="s">
        <v>1107</v>
      </c>
      <c r="I34" s="152" t="s">
        <v>864</v>
      </c>
      <c r="J34" s="152" t="s">
        <v>864</v>
      </c>
      <c r="K34" s="153" t="n">
        <f aca="false">IFERROR(INDEX($AB$6:$AB$12,MATCH($I34,$AA$6:$AA$12,0)),"")</f>
        <v>3</v>
      </c>
      <c r="L34" s="153" t="n">
        <f aca="false">IFERROR(INDEX($AB$6:$AB$12,MATCH($J34,$AA$6:$AA$12,0)),"")</f>
        <v>3</v>
      </c>
      <c r="M34" s="67" t="n">
        <f aca="false">IF(OR($K34="",$L34=""),"",$L34-$K34)</f>
        <v>0</v>
      </c>
      <c r="N34" s="152" t="s">
        <v>910</v>
      </c>
      <c r="O34" s="32" t="n">
        <f aca="false">IFERROR(VALUE(LEFT($N34,1)),"")</f>
        <v>3</v>
      </c>
      <c r="P34" s="154" t="s">
        <v>1108</v>
      </c>
      <c r="Q34" s="69" t="s">
        <v>941</v>
      </c>
      <c r="R34" s="69" t="str">
        <f aca="false">IF(ISNUMBER(SEARCH("D+C",$Q34)),"D+C",IF(OR($Q34="D",ISNUMBER(SEARCH("D par éditeur",$Q34))),"D",IF(OR($Q34="P",ISNUMBER(SEARCH("P recherche",$Q34))),"P",IF($Q34="A","A",IF(ISNUMBER(SEARCH("PNO",$Q34)),"PNO","")))))</f>
        <v>A</v>
      </c>
      <c r="S34" s="152" t="str">
        <f aca="false">IF(OR(ISNUMBER(SEARCH("Annexe III 4",$P34)),ISNUMBER(SEARCH("Annexe III 5",$P34))),"Oui","Non")</f>
        <v>Non</v>
      </c>
      <c r="T34" s="154" t="s">
        <v>1109</v>
      </c>
      <c r="U34" s="154" t="s">
        <v>1110</v>
      </c>
      <c r="V34" s="155" t="s">
        <v>1111</v>
      </c>
      <c r="AD34" s="159"/>
      <c r="AE34" s="159"/>
    </row>
    <row r="35" customFormat="false" ht="19.4" hidden="false" customHeight="false" outlineLevel="0" collapsed="false">
      <c r="A35" s="151" t="s">
        <v>1057</v>
      </c>
      <c r="B35" s="69" t="s">
        <v>1112</v>
      </c>
      <c r="C35" s="152" t="s">
        <v>905</v>
      </c>
      <c r="D35" s="68" t="s">
        <v>1113</v>
      </c>
      <c r="E35" s="68" t="s">
        <v>1114</v>
      </c>
      <c r="F35" s="152" t="s">
        <v>1115</v>
      </c>
      <c r="G35" s="152" t="s">
        <v>1022</v>
      </c>
      <c r="H35" s="68" t="s">
        <v>1116</v>
      </c>
      <c r="I35" s="152" t="s">
        <v>878</v>
      </c>
      <c r="J35" s="152" t="s">
        <v>865</v>
      </c>
      <c r="K35" s="153" t="n">
        <f aca="false">IFERROR(INDEX($AB$6:$AB$12,MATCH($I35,$AA$6:$AA$12,0)),"")</f>
        <v>2</v>
      </c>
      <c r="L35" s="153" t="n">
        <f aca="false">IFERROR(INDEX($AB$6:$AB$12,MATCH($J35,$AA$6:$AA$12,0)),"")</f>
        <v>4</v>
      </c>
      <c r="M35" s="67" t="n">
        <f aca="false">IF(OR($K35="",$L35=""),"",$L35-$K35)</f>
        <v>2</v>
      </c>
      <c r="N35" s="152" t="s">
        <v>910</v>
      </c>
      <c r="O35" s="32" t="n">
        <f aca="false">IFERROR(VALUE(LEFT($N35,1)),"")</f>
        <v>3</v>
      </c>
      <c r="P35" s="154" t="s">
        <v>1117</v>
      </c>
      <c r="Q35" s="69" t="s">
        <v>912</v>
      </c>
      <c r="R35" s="69" t="str">
        <f aca="false">IF(ISNUMBER(SEARCH("D+C",$Q35)),"D+C",IF(OR($Q35="D",ISNUMBER(SEARCH("D par éditeur",$Q35))),"D",IF(OR($Q35="P",ISNUMBER(SEARCH("P recherche",$Q35))),"P",IF($Q35="A","A",IF(ISNUMBER(SEARCH("PNO",$Q35)),"PNO","")))))</f>
        <v>PNO</v>
      </c>
      <c r="S35" s="152" t="str">
        <f aca="false">IF(OR(ISNUMBER(SEARCH("Annexe III 4",$P35)),ISNUMBER(SEARCH("Annexe III 5",$P35))),"Oui","Non")</f>
        <v>Non</v>
      </c>
      <c r="T35" s="154" t="s">
        <v>913</v>
      </c>
      <c r="U35" s="154" t="s">
        <v>914</v>
      </c>
      <c r="V35" s="155"/>
    </row>
    <row r="36" customFormat="false" ht="42.5" hidden="false" customHeight="false" outlineLevel="0" collapsed="false">
      <c r="A36" s="151" t="s">
        <v>1057</v>
      </c>
      <c r="B36" s="69" t="s">
        <v>1118</v>
      </c>
      <c r="C36" s="152" t="s">
        <v>905</v>
      </c>
      <c r="D36" s="68" t="s">
        <v>1119</v>
      </c>
      <c r="E36" s="68" t="s">
        <v>1120</v>
      </c>
      <c r="F36" s="152" t="s">
        <v>888</v>
      </c>
      <c r="G36" s="152" t="s">
        <v>1121</v>
      </c>
      <c r="H36" s="68" t="s">
        <v>1122</v>
      </c>
      <c r="I36" s="152" t="s">
        <v>864</v>
      </c>
      <c r="J36" s="152" t="s">
        <v>865</v>
      </c>
      <c r="K36" s="153" t="n">
        <f aca="false">IFERROR(INDEX($AB$6:$AB$12,MATCH($I36,$AA$6:$AA$12,0)),"")</f>
        <v>3</v>
      </c>
      <c r="L36" s="153" t="n">
        <f aca="false">IFERROR(INDEX($AB$6:$AB$12,MATCH($J36,$AA$6:$AA$12,0)),"")</f>
        <v>4</v>
      </c>
      <c r="M36" s="67" t="n">
        <f aca="false">IF(OR($K36="",$L36=""),"",$L36-$K36)</f>
        <v>1</v>
      </c>
      <c r="N36" s="152" t="s">
        <v>866</v>
      </c>
      <c r="O36" s="32" t="n">
        <f aca="false">IFERROR(VALUE(LEFT($N36,1)),"")</f>
        <v>4</v>
      </c>
      <c r="P36" s="154" t="s">
        <v>1123</v>
      </c>
      <c r="Q36" s="69" t="s">
        <v>912</v>
      </c>
      <c r="R36" s="69" t="str">
        <f aca="false">IF(ISNUMBER(SEARCH("D+C",$Q36)),"D+C",IF(OR($Q36="D",ISNUMBER(SEARCH("D par éditeur",$Q36))),"D",IF(OR($Q36="P",ISNUMBER(SEARCH("P recherche",$Q36))),"P",IF($Q36="A","A",IF(ISNUMBER(SEARCH("PNO",$Q36)),"PNO","")))))</f>
        <v>PNO</v>
      </c>
      <c r="S36" s="152" t="str">
        <f aca="false">IF(OR(ISNUMBER(SEARCH("Annexe III 4",$P36)),ISNUMBER(SEARCH("Annexe III 5",$P36))),"Oui","Non")</f>
        <v>Non</v>
      </c>
      <c r="T36" s="154" t="s">
        <v>1124</v>
      </c>
      <c r="U36" s="154" t="s">
        <v>1125</v>
      </c>
      <c r="V36" s="155" t="s">
        <v>1126</v>
      </c>
    </row>
    <row r="37" customFormat="false" ht="19.4" hidden="false" customHeight="false" outlineLevel="0" collapsed="false">
      <c r="A37" s="151" t="s">
        <v>1057</v>
      </c>
      <c r="B37" s="69" t="s">
        <v>1127</v>
      </c>
      <c r="C37" s="152" t="s">
        <v>905</v>
      </c>
      <c r="D37" s="68" t="s">
        <v>1128</v>
      </c>
      <c r="E37" s="68" t="s">
        <v>1129</v>
      </c>
      <c r="F37" s="152" t="s">
        <v>888</v>
      </c>
      <c r="G37" s="152" t="s">
        <v>51</v>
      </c>
      <c r="H37" s="68" t="s">
        <v>1130</v>
      </c>
      <c r="I37" s="152" t="s">
        <v>878</v>
      </c>
      <c r="J37" s="152" t="s">
        <v>864</v>
      </c>
      <c r="K37" s="153" t="n">
        <f aca="false">IFERROR(INDEX($AB$6:$AB$12,MATCH($I37,$AA$6:$AA$12,0)),"")</f>
        <v>2</v>
      </c>
      <c r="L37" s="153" t="n">
        <f aca="false">IFERROR(INDEX($AB$6:$AB$12,MATCH($J37,$AA$6:$AA$12,0)),"")</f>
        <v>3</v>
      </c>
      <c r="M37" s="67" t="n">
        <f aca="false">IF(OR($K37="",$L37=""),"",$L37-$K37)</f>
        <v>1</v>
      </c>
      <c r="N37" s="152" t="s">
        <v>910</v>
      </c>
      <c r="O37" s="32" t="n">
        <f aca="false">IFERROR(VALUE(LEFT($N37,1)),"")</f>
        <v>3</v>
      </c>
      <c r="P37" s="154" t="s">
        <v>1052</v>
      </c>
      <c r="Q37" s="69" t="s">
        <v>912</v>
      </c>
      <c r="R37" s="69" t="str">
        <f aca="false">IF(ISNUMBER(SEARCH("D+C",$Q37)),"D+C",IF(OR($Q37="D",ISNUMBER(SEARCH("D par éditeur",$Q37))),"D",IF(OR($Q37="P",ISNUMBER(SEARCH("P recherche",$Q37))),"P",IF($Q37="A","A",IF(ISNUMBER(SEARCH("PNO",$Q37)),"PNO","")))))</f>
        <v>PNO</v>
      </c>
      <c r="S37" s="152" t="str">
        <f aca="false">IF(OR(ISNUMBER(SEARCH("Annexe III 4",$P37)),ISNUMBER(SEARCH("Annexe III 5",$P37))),"Oui","Non")</f>
        <v>Non</v>
      </c>
      <c r="T37" s="154" t="s">
        <v>950</v>
      </c>
      <c r="U37" s="154" t="s">
        <v>914</v>
      </c>
      <c r="V37" s="155"/>
    </row>
    <row r="38" customFormat="false" ht="15" hidden="false" customHeight="false" outlineLevel="0" collapsed="false">
      <c r="A38" s="151" t="s">
        <v>1057</v>
      </c>
      <c r="B38" s="69" t="s">
        <v>1131</v>
      </c>
      <c r="C38" s="152" t="s">
        <v>905</v>
      </c>
      <c r="D38" s="68" t="s">
        <v>1132</v>
      </c>
      <c r="E38" s="68" t="s">
        <v>1133</v>
      </c>
      <c r="F38" s="152" t="s">
        <v>876</v>
      </c>
      <c r="G38" s="152" t="s">
        <v>51</v>
      </c>
      <c r="H38" s="68" t="s">
        <v>1134</v>
      </c>
      <c r="I38" s="152" t="s">
        <v>903</v>
      </c>
      <c r="J38" s="152" t="s">
        <v>878</v>
      </c>
      <c r="K38" s="153" t="n">
        <f aca="false">IFERROR(INDEX($AB$6:$AB$12,MATCH($I38,$AA$6:$AA$12,0)),"")</f>
        <v>1</v>
      </c>
      <c r="L38" s="153" t="n">
        <f aca="false">IFERROR(INDEX($AB$6:$AB$12,MATCH($J38,$AA$6:$AA$12,0)),"")</f>
        <v>2</v>
      </c>
      <c r="M38" s="67" t="n">
        <f aca="false">IF(OR($K38="",$L38=""),"",$L38-$K38)</f>
        <v>1</v>
      </c>
      <c r="N38" s="152" t="s">
        <v>910</v>
      </c>
      <c r="O38" s="32" t="n">
        <f aca="false">IFERROR(VALUE(LEFT($N38,1)),"")</f>
        <v>3</v>
      </c>
      <c r="P38" s="154" t="s">
        <v>1135</v>
      </c>
      <c r="Q38" s="69" t="s">
        <v>912</v>
      </c>
      <c r="R38" s="69" t="str">
        <f aca="false">IF(ISNUMBER(SEARCH("D+C",$Q38)),"D+C",IF(OR($Q38="D",ISNUMBER(SEARCH("D par éditeur",$Q38))),"D",IF(OR($Q38="P",ISNUMBER(SEARCH("P recherche",$Q38))),"P",IF($Q38="A","A",IF(ISNUMBER(SEARCH("PNO",$Q38)),"PNO","")))))</f>
        <v>PNO</v>
      </c>
      <c r="S38" s="152" t="str">
        <f aca="false">IF(OR(ISNUMBER(SEARCH("Annexe III 4",$P38)),ISNUMBER(SEARCH("Annexe III 5",$P38))),"Oui","Non")</f>
        <v>Non</v>
      </c>
      <c r="T38" s="154" t="s">
        <v>950</v>
      </c>
      <c r="U38" s="154" t="s">
        <v>914</v>
      </c>
      <c r="V38" s="155"/>
    </row>
    <row r="39" customFormat="false" ht="15" hidden="false" customHeight="false" outlineLevel="0" collapsed="false">
      <c r="A39" s="151" t="s">
        <v>1057</v>
      </c>
      <c r="B39" s="69" t="s">
        <v>1136</v>
      </c>
      <c r="C39" s="152" t="s">
        <v>905</v>
      </c>
      <c r="D39" s="68" t="s">
        <v>1137</v>
      </c>
      <c r="E39" s="68" t="s">
        <v>1138</v>
      </c>
      <c r="F39" s="152" t="s">
        <v>888</v>
      </c>
      <c r="G39" s="152" t="s">
        <v>51</v>
      </c>
      <c r="H39" s="68" t="s">
        <v>1139</v>
      </c>
      <c r="I39" s="152" t="s">
        <v>864</v>
      </c>
      <c r="J39" s="152" t="s">
        <v>864</v>
      </c>
      <c r="K39" s="153" t="n">
        <f aca="false">IFERROR(INDEX($AB$6:$AB$12,MATCH($I39,$AA$6:$AA$12,0)),"")</f>
        <v>3</v>
      </c>
      <c r="L39" s="153" t="n">
        <f aca="false">IFERROR(INDEX($AB$6:$AB$12,MATCH($J39,$AA$6:$AA$12,0)),"")</f>
        <v>3</v>
      </c>
      <c r="M39" s="67" t="n">
        <f aca="false">IF(OR($K39="",$L39=""),"",$L39-$K39)</f>
        <v>0</v>
      </c>
      <c r="N39" s="152" t="s">
        <v>866</v>
      </c>
      <c r="O39" s="32" t="n">
        <f aca="false">IFERROR(VALUE(LEFT($N39,1)),"")</f>
        <v>4</v>
      </c>
      <c r="P39" s="154" t="s">
        <v>1140</v>
      </c>
      <c r="Q39" s="69" t="s">
        <v>912</v>
      </c>
      <c r="R39" s="69" t="str">
        <f aca="false">IF(ISNUMBER(SEARCH("D+C",$Q39)),"D+C",IF(OR($Q39="D",ISNUMBER(SEARCH("D par éditeur",$Q39))),"D",IF(OR($Q39="P",ISNUMBER(SEARCH("P recherche",$Q39))),"P",IF($Q39="A","A",IF(ISNUMBER(SEARCH("PNO",$Q39)),"PNO","")))))</f>
        <v>PNO</v>
      </c>
      <c r="S39" s="152" t="str">
        <f aca="false">IF(OR(ISNUMBER(SEARCH("Annexe III 4",$P39)),ISNUMBER(SEARCH("Annexe III 5",$P39))),"Oui","Non")</f>
        <v>Non</v>
      </c>
      <c r="T39" s="154" t="s">
        <v>950</v>
      </c>
      <c r="U39" s="154" t="s">
        <v>914</v>
      </c>
      <c r="V39" s="155"/>
    </row>
    <row r="40" customFormat="false" ht="19.4" hidden="false" customHeight="false" outlineLevel="0" collapsed="false">
      <c r="A40" s="151" t="s">
        <v>1057</v>
      </c>
      <c r="B40" s="69" t="s">
        <v>1141</v>
      </c>
      <c r="C40" s="152" t="s">
        <v>905</v>
      </c>
      <c r="D40" s="68" t="s">
        <v>1142</v>
      </c>
      <c r="E40" s="68" t="s">
        <v>1143</v>
      </c>
      <c r="F40" s="152" t="s">
        <v>876</v>
      </c>
      <c r="G40" s="152" t="s">
        <v>51</v>
      </c>
      <c r="H40" s="68" t="s">
        <v>1144</v>
      </c>
      <c r="I40" s="152" t="s">
        <v>903</v>
      </c>
      <c r="J40" s="152" t="s">
        <v>878</v>
      </c>
      <c r="K40" s="153" t="n">
        <f aca="false">IFERROR(INDEX($AB$6:$AB$12,MATCH($I40,$AA$6:$AA$12,0)),"")</f>
        <v>1</v>
      </c>
      <c r="L40" s="153" t="n">
        <f aca="false">IFERROR(INDEX($AB$6:$AB$12,MATCH($J40,$AA$6:$AA$12,0)),"")</f>
        <v>2</v>
      </c>
      <c r="M40" s="67" t="n">
        <f aca="false">IF(OR($K40="",$L40=""),"",$L40-$K40)</f>
        <v>1</v>
      </c>
      <c r="N40" s="152" t="s">
        <v>866</v>
      </c>
      <c r="O40" s="32" t="n">
        <f aca="false">IFERROR(VALUE(LEFT($N40,1)),"")</f>
        <v>4</v>
      </c>
      <c r="P40" s="154" t="s">
        <v>1145</v>
      </c>
      <c r="Q40" s="69" t="s">
        <v>912</v>
      </c>
      <c r="R40" s="69" t="str">
        <f aca="false">IF(ISNUMBER(SEARCH("D+C",$Q40)),"D+C",IF(OR($Q40="D",ISNUMBER(SEARCH("D par éditeur",$Q40))),"D",IF(OR($Q40="P",ISNUMBER(SEARCH("P recherche",$Q40))),"P",IF($Q40="A","A",IF(ISNUMBER(SEARCH("PNO",$Q40)),"PNO","")))))</f>
        <v>PNO</v>
      </c>
      <c r="S40" s="152" t="str">
        <f aca="false">IF(OR(ISNUMBER(SEARCH("Annexe III 4",$P40)),ISNUMBER(SEARCH("Annexe III 5",$P40))),"Oui","Non")</f>
        <v>Non</v>
      </c>
      <c r="T40" s="154" t="s">
        <v>950</v>
      </c>
      <c r="U40" s="154" t="s">
        <v>914</v>
      </c>
      <c r="V40" s="155"/>
    </row>
    <row r="41" customFormat="false" ht="58.95" hidden="false" customHeight="false" outlineLevel="0" collapsed="false">
      <c r="A41" s="151" t="s">
        <v>1057</v>
      </c>
      <c r="B41" s="69" t="s">
        <v>1146</v>
      </c>
      <c r="C41" s="152" t="s">
        <v>1147</v>
      </c>
      <c r="D41" s="68" t="s">
        <v>1148</v>
      </c>
      <c r="E41" s="68" t="s">
        <v>1149</v>
      </c>
      <c r="F41" s="152" t="s">
        <v>1150</v>
      </c>
      <c r="G41" s="152" t="s">
        <v>1151</v>
      </c>
      <c r="H41" s="68" t="s">
        <v>1152</v>
      </c>
      <c r="I41" s="152" t="s">
        <v>878</v>
      </c>
      <c r="J41" s="152" t="s">
        <v>864</v>
      </c>
      <c r="K41" s="153" t="n">
        <f aca="false">IFERROR(INDEX($AB$6:$AB$12,MATCH($I41,$AA$6:$AA$12,0)),"")</f>
        <v>2</v>
      </c>
      <c r="L41" s="153" t="n">
        <f aca="false">IFERROR(INDEX($AB$6:$AB$12,MATCH($J41,$AA$6:$AA$12,0)),"")</f>
        <v>3</v>
      </c>
      <c r="M41" s="67" t="n">
        <f aca="false">IF(OR($K41="",$L41=""),"",$L41-$K41)</f>
        <v>1</v>
      </c>
      <c r="N41" s="152" t="s">
        <v>866</v>
      </c>
      <c r="O41" s="32" t="n">
        <f aca="false">IFERROR(VALUE(LEFT($N41,1)),"")</f>
        <v>4</v>
      </c>
      <c r="P41" s="154" t="s">
        <v>1153</v>
      </c>
      <c r="Q41" s="69" t="s">
        <v>941</v>
      </c>
      <c r="R41" s="69" t="str">
        <f aca="false">IF(ISNUMBER(SEARCH("D+C",$Q41)),"D+C",IF(OR($Q41="D",ISNUMBER(SEARCH("D par éditeur",$Q41))),"D",IF(OR($Q41="P",ISNUMBER(SEARCH("P recherche",$Q41))),"P",IF($Q41="A","A",IF(ISNUMBER(SEARCH("PNO",$Q41)),"PNO","")))))</f>
        <v>A</v>
      </c>
      <c r="S41" s="152" t="str">
        <f aca="false">IF(OR(ISNUMBER(SEARCH("Annexe III 4",$P41)),ISNUMBER(SEARCH("Annexe III 5",$P41))),"Oui","Non")</f>
        <v>Non</v>
      </c>
      <c r="T41" s="154" t="s">
        <v>1154</v>
      </c>
      <c r="U41" s="154" t="s">
        <v>1155</v>
      </c>
      <c r="V41" s="155" t="s">
        <v>1156</v>
      </c>
    </row>
    <row r="42" customFormat="false" ht="19.4" hidden="false" customHeight="false" outlineLevel="0" collapsed="false">
      <c r="A42" s="151" t="s">
        <v>1057</v>
      </c>
      <c r="B42" s="69" t="s">
        <v>1157</v>
      </c>
      <c r="C42" s="152" t="s">
        <v>905</v>
      </c>
      <c r="D42" s="68" t="s">
        <v>1158</v>
      </c>
      <c r="E42" s="68" t="s">
        <v>1159</v>
      </c>
      <c r="F42" s="152" t="s">
        <v>888</v>
      </c>
      <c r="G42" s="152" t="s">
        <v>51</v>
      </c>
      <c r="H42" s="68" t="s">
        <v>1160</v>
      </c>
      <c r="I42" s="152" t="s">
        <v>878</v>
      </c>
      <c r="J42" s="152" t="s">
        <v>864</v>
      </c>
      <c r="K42" s="153" t="n">
        <f aca="false">IFERROR(INDEX($AB$6:$AB$12,MATCH($I42,$AA$6:$AA$12,0)),"")</f>
        <v>2</v>
      </c>
      <c r="L42" s="153" t="n">
        <f aca="false">IFERROR(INDEX($AB$6:$AB$12,MATCH($J42,$AA$6:$AA$12,0)),"")</f>
        <v>3</v>
      </c>
      <c r="M42" s="67" t="n">
        <f aca="false">IF(OR($K42="",$L42=""),"",$L42-$K42)</f>
        <v>1</v>
      </c>
      <c r="N42" s="152" t="s">
        <v>866</v>
      </c>
      <c r="O42" s="32" t="n">
        <f aca="false">IFERROR(VALUE(LEFT($N42,1)),"")</f>
        <v>4</v>
      </c>
      <c r="P42" s="154" t="s">
        <v>1161</v>
      </c>
      <c r="Q42" s="69" t="s">
        <v>912</v>
      </c>
      <c r="R42" s="69" t="str">
        <f aca="false">IF(ISNUMBER(SEARCH("D+C",$Q42)),"D+C",IF(OR($Q42="D",ISNUMBER(SEARCH("D par éditeur",$Q42))),"D",IF(OR($Q42="P",ISNUMBER(SEARCH("P recherche",$Q42))),"P",IF($Q42="A","A",IF(ISNUMBER(SEARCH("PNO",$Q42)),"PNO","")))))</f>
        <v>PNO</v>
      </c>
      <c r="S42" s="152" t="str">
        <f aca="false">IF(OR(ISNUMBER(SEARCH("Annexe III 4",$P42)),ISNUMBER(SEARCH("Annexe III 5",$P42))),"Oui","Non")</f>
        <v>Non</v>
      </c>
      <c r="T42" s="154" t="s">
        <v>950</v>
      </c>
      <c r="U42" s="154" t="s">
        <v>914</v>
      </c>
      <c r="V42" s="155"/>
    </row>
    <row r="43" customFormat="false" ht="15" hidden="false" customHeight="false" outlineLevel="0" collapsed="false">
      <c r="A43" s="151" t="s">
        <v>1057</v>
      </c>
      <c r="B43" s="69" t="s">
        <v>1162</v>
      </c>
      <c r="C43" s="152" t="s">
        <v>905</v>
      </c>
      <c r="D43" s="68" t="s">
        <v>1163</v>
      </c>
      <c r="E43" s="68" t="s">
        <v>1164</v>
      </c>
      <c r="F43" s="152" t="s">
        <v>888</v>
      </c>
      <c r="G43" s="152" t="s">
        <v>51</v>
      </c>
      <c r="H43" s="68" t="s">
        <v>1165</v>
      </c>
      <c r="I43" s="152" t="s">
        <v>878</v>
      </c>
      <c r="J43" s="152" t="s">
        <v>864</v>
      </c>
      <c r="K43" s="153" t="n">
        <f aca="false">IFERROR(INDEX($AB$6:$AB$12,MATCH($I43,$AA$6:$AA$12,0)),"")</f>
        <v>2</v>
      </c>
      <c r="L43" s="153" t="n">
        <f aca="false">IFERROR(INDEX($AB$6:$AB$12,MATCH($J43,$AA$6:$AA$12,0)),"")</f>
        <v>3</v>
      </c>
      <c r="M43" s="67" t="n">
        <f aca="false">IF(OR($K43="",$L43=""),"",$L43-$K43)</f>
        <v>1</v>
      </c>
      <c r="N43" s="152" t="s">
        <v>879</v>
      </c>
      <c r="O43" s="32" t="n">
        <f aca="false">IFERROR(VALUE(LEFT($N43,1)),"")</f>
        <v>2</v>
      </c>
      <c r="P43" s="154" t="s">
        <v>1166</v>
      </c>
      <c r="Q43" s="69" t="s">
        <v>912</v>
      </c>
      <c r="R43" s="69" t="str">
        <f aca="false">IF(ISNUMBER(SEARCH("D+C",$Q43)),"D+C",IF(OR($Q43="D",ISNUMBER(SEARCH("D par éditeur",$Q43))),"D",IF(OR($Q43="P",ISNUMBER(SEARCH("P recherche",$Q43))),"P",IF($Q43="A","A",IF(ISNUMBER(SEARCH("PNO",$Q43)),"PNO","")))))</f>
        <v>PNO</v>
      </c>
      <c r="S43" s="152" t="str">
        <f aca="false">IF(OR(ISNUMBER(SEARCH("Annexe III 4",$P43)),ISNUMBER(SEARCH("Annexe III 5",$P43))),"Oui","Non")</f>
        <v>Non</v>
      </c>
      <c r="T43" s="154" t="s">
        <v>950</v>
      </c>
      <c r="U43" s="154" t="s">
        <v>914</v>
      </c>
      <c r="V43" s="155"/>
    </row>
    <row r="44" customFormat="false" ht="19.4" hidden="false" customHeight="false" outlineLevel="0" collapsed="false">
      <c r="A44" s="151" t="s">
        <v>1167</v>
      </c>
      <c r="B44" s="69" t="s">
        <v>1168</v>
      </c>
      <c r="C44" s="152" t="s">
        <v>860</v>
      </c>
      <c r="D44" s="68" t="s">
        <v>1169</v>
      </c>
      <c r="E44" s="68" t="s">
        <v>1170</v>
      </c>
      <c r="F44" s="152" t="s">
        <v>888</v>
      </c>
      <c r="G44" s="152" t="s">
        <v>919</v>
      </c>
      <c r="H44" s="68" t="s">
        <v>1171</v>
      </c>
      <c r="I44" s="152" t="s">
        <v>878</v>
      </c>
      <c r="J44" s="152" t="s">
        <v>864</v>
      </c>
      <c r="K44" s="153" t="n">
        <f aca="false">IFERROR(INDEX($AB$6:$AB$12,MATCH($I44,$AA$6:$AA$12,0)),"")</f>
        <v>2</v>
      </c>
      <c r="L44" s="153" t="n">
        <f aca="false">IFERROR(INDEX($AB$6:$AB$12,MATCH($J44,$AA$6:$AA$12,0)),"")</f>
        <v>3</v>
      </c>
      <c r="M44" s="67" t="n">
        <f aca="false">IF(OR($K44="",$L44=""),"",$L44-$K44)</f>
        <v>1</v>
      </c>
      <c r="N44" s="152" t="s">
        <v>910</v>
      </c>
      <c r="O44" s="32" t="n">
        <f aca="false">IFERROR(VALUE(LEFT($N44,1)),"")</f>
        <v>3</v>
      </c>
      <c r="P44" s="154" t="s">
        <v>1172</v>
      </c>
      <c r="Q44" s="69" t="s">
        <v>959</v>
      </c>
      <c r="R44" s="69" t="str">
        <f aca="false">IF(ISNUMBER(SEARCH("D+C",$Q44)),"D+C",IF(OR($Q44="D",ISNUMBER(SEARCH("D par éditeur",$Q44))),"D",IF(OR($Q44="P",ISNUMBER(SEARCH("P recherche",$Q44))),"P",IF($Q44="A","A",IF(ISNUMBER(SEARCH("PNO",$Q44)),"PNO","")))))</f>
        <v>D</v>
      </c>
      <c r="S44" s="152" t="str">
        <f aca="false">IF(OR(ISNUMBER(SEARCH("Annexe III 4",$P44)),ISNUMBER(SEARCH("Annexe III 5",$P44))),"Oui","Non")</f>
        <v>Non</v>
      </c>
      <c r="T44" s="154" t="s">
        <v>1173</v>
      </c>
      <c r="U44" s="154" t="s">
        <v>1174</v>
      </c>
      <c r="V44" s="155"/>
    </row>
    <row r="45" customFormat="false" ht="75.35" hidden="false" customHeight="false" outlineLevel="0" collapsed="false">
      <c r="A45" s="151" t="s">
        <v>1167</v>
      </c>
      <c r="B45" s="69" t="s">
        <v>1175</v>
      </c>
      <c r="C45" s="152" t="s">
        <v>860</v>
      </c>
      <c r="D45" s="68" t="s">
        <v>1176</v>
      </c>
      <c r="E45" s="68" t="s">
        <v>1177</v>
      </c>
      <c r="F45" s="152" t="s">
        <v>1178</v>
      </c>
      <c r="G45" s="152" t="s">
        <v>1179</v>
      </c>
      <c r="H45" s="68" t="s">
        <v>1180</v>
      </c>
      <c r="I45" s="152" t="s">
        <v>903</v>
      </c>
      <c r="J45" s="152" t="s">
        <v>903</v>
      </c>
      <c r="K45" s="153" t="n">
        <f aca="false">IFERROR(INDEX($AB$6:$AB$12,MATCH($I45,$AA$6:$AA$12,0)),"")</f>
        <v>1</v>
      </c>
      <c r="L45" s="153" t="n">
        <f aca="false">IFERROR(INDEX($AB$6:$AB$12,MATCH($J45,$AA$6:$AA$12,0)),"")</f>
        <v>1</v>
      </c>
      <c r="M45" s="67" t="n">
        <f aca="false">IF(OR($K45="",$L45=""),"",$L45-$K45)</f>
        <v>0</v>
      </c>
      <c r="N45" s="152" t="s">
        <v>921</v>
      </c>
      <c r="O45" s="32" t="n">
        <f aca="false">IFERROR(VALUE(LEFT($N45,1)),"")</f>
        <v>5</v>
      </c>
      <c r="P45" s="154" t="s">
        <v>1181</v>
      </c>
      <c r="Q45" s="69" t="s">
        <v>1182</v>
      </c>
      <c r="R45" s="69" t="str">
        <f aca="false">IF(ISNUMBER(SEARCH("D+C",$Q45)),"D+C",IF(OR($Q45="D",ISNUMBER(SEARCH("D par éditeur",$Q45))),"D",IF(OR($Q45="P",ISNUMBER(SEARCH("P recherche",$Q45))),"P",IF($Q45="A","A",IF(ISNUMBER(SEARCH("PNO",$Q45)),"PNO","")))))</f>
        <v>PNO</v>
      </c>
      <c r="S45" s="152" t="str">
        <f aca="false">IF(OR(ISNUMBER(SEARCH("Annexe III 4",$P45)),ISNUMBER(SEARCH("Annexe III 5",$P45))),"Oui","Non")</f>
        <v>Non</v>
      </c>
      <c r="T45" s="154" t="s">
        <v>1183</v>
      </c>
      <c r="U45" s="154" t="s">
        <v>1184</v>
      </c>
      <c r="V45" s="155" t="s">
        <v>1185</v>
      </c>
    </row>
    <row r="46" customFormat="false" ht="15" hidden="false" customHeight="false" outlineLevel="0" collapsed="false">
      <c r="A46" s="151" t="s">
        <v>1167</v>
      </c>
      <c r="B46" s="69" t="s">
        <v>1186</v>
      </c>
      <c r="C46" s="152" t="s">
        <v>860</v>
      </c>
      <c r="D46" s="68" t="s">
        <v>1187</v>
      </c>
      <c r="E46" s="68" t="s">
        <v>1188</v>
      </c>
      <c r="F46" s="152" t="s">
        <v>1189</v>
      </c>
      <c r="G46" s="152" t="s">
        <v>1190</v>
      </c>
      <c r="H46" s="68" t="s">
        <v>1191</v>
      </c>
      <c r="I46" s="152" t="s">
        <v>872</v>
      </c>
      <c r="J46" s="152" t="s">
        <v>872</v>
      </c>
      <c r="K46" s="153" t="n">
        <f aca="false">IFERROR(INDEX($AB$6:$AB$12,MATCH($I46,$AA$6:$AA$12,0)),"")</f>
        <v>0</v>
      </c>
      <c r="L46" s="153" t="n">
        <f aca="false">IFERROR(INDEX($AB$6:$AB$12,MATCH($J46,$AA$6:$AA$12,0)),"")</f>
        <v>0</v>
      </c>
      <c r="M46" s="67" t="n">
        <f aca="false">IF(OR($K46="",$L46=""),"",$L46-$K46)</f>
        <v>0</v>
      </c>
      <c r="N46" s="152" t="s">
        <v>921</v>
      </c>
      <c r="O46" s="32" t="n">
        <f aca="false">IFERROR(VALUE(LEFT($N46,1)),"")</f>
        <v>5</v>
      </c>
      <c r="P46" s="154" t="s">
        <v>1192</v>
      </c>
      <c r="Q46" s="69" t="s">
        <v>912</v>
      </c>
      <c r="R46" s="69" t="str">
        <f aca="false">IF(ISNUMBER(SEARCH("D+C",$Q46)),"D+C",IF(OR($Q46="D",ISNUMBER(SEARCH("D par éditeur",$Q46))),"D",IF(OR($Q46="P",ISNUMBER(SEARCH("P recherche",$Q46))),"P",IF($Q46="A","A",IF(ISNUMBER(SEARCH("PNO",$Q46)),"PNO","")))))</f>
        <v>PNO</v>
      </c>
      <c r="S46" s="152" t="str">
        <f aca="false">IF(OR(ISNUMBER(SEARCH("Annexe III 4",$P46)),ISNUMBER(SEARCH("Annexe III 5",$P46))),"Oui","Non")</f>
        <v>Non</v>
      </c>
      <c r="T46" s="154" t="s">
        <v>950</v>
      </c>
      <c r="U46" s="154" t="s">
        <v>1193</v>
      </c>
      <c r="V46" s="155"/>
    </row>
    <row r="47" customFormat="false" ht="50.7" hidden="false" customHeight="false" outlineLevel="0" collapsed="false">
      <c r="A47" s="151" t="s">
        <v>1167</v>
      </c>
      <c r="B47" s="69" t="s">
        <v>379</v>
      </c>
      <c r="C47" s="152" t="s">
        <v>860</v>
      </c>
      <c r="D47" s="68" t="s">
        <v>378</v>
      </c>
      <c r="E47" s="68" t="s">
        <v>1194</v>
      </c>
      <c r="F47" s="152" t="s">
        <v>1195</v>
      </c>
      <c r="G47" s="152" t="s">
        <v>888</v>
      </c>
      <c r="H47" s="68" t="s">
        <v>1196</v>
      </c>
      <c r="I47" s="152" t="s">
        <v>864</v>
      </c>
      <c r="J47" s="152" t="s">
        <v>865</v>
      </c>
      <c r="K47" s="153" t="n">
        <f aca="false">IFERROR(INDEX($AB$6:$AB$12,MATCH($I47,$AA$6:$AA$12,0)),"")</f>
        <v>3</v>
      </c>
      <c r="L47" s="153" t="n">
        <f aca="false">IFERROR(INDEX($AB$6:$AB$12,MATCH($J47,$AA$6:$AA$12,0)),"")</f>
        <v>4</v>
      </c>
      <c r="M47" s="67" t="n">
        <f aca="false">IF(OR($K47="",$L47=""),"",$L47-$K47)</f>
        <v>1</v>
      </c>
      <c r="N47" s="152" t="s">
        <v>910</v>
      </c>
      <c r="O47" s="32" t="n">
        <f aca="false">IFERROR(VALUE(LEFT($N47,1)),"")</f>
        <v>3</v>
      </c>
      <c r="P47" s="154" t="s">
        <v>1197</v>
      </c>
      <c r="Q47" s="69" t="s">
        <v>959</v>
      </c>
      <c r="R47" s="69" t="str">
        <f aca="false">IF(ISNUMBER(SEARCH("D+C",$Q47)),"D+C",IF(OR($Q47="D",ISNUMBER(SEARCH("D par éditeur",$Q47))),"D",IF(OR($Q47="P",ISNUMBER(SEARCH("P recherche",$Q47))),"P",IF($Q47="A","A",IF(ISNUMBER(SEARCH("PNO",$Q47)),"PNO","")))))</f>
        <v>D</v>
      </c>
      <c r="S47" s="152" t="str">
        <f aca="false">IF(OR(ISNUMBER(SEARCH("Annexe III 4",$P47)),ISNUMBER(SEARCH("Annexe III 5",$P47))),"Oui","Non")</f>
        <v>Non</v>
      </c>
      <c r="T47" s="154" t="s">
        <v>1198</v>
      </c>
      <c r="U47" s="154" t="s">
        <v>1199</v>
      </c>
      <c r="V47" s="155" t="s">
        <v>1200</v>
      </c>
    </row>
    <row r="48" customFormat="false" ht="58.95" hidden="false" customHeight="false" outlineLevel="0" collapsed="false">
      <c r="A48" s="151" t="s">
        <v>1167</v>
      </c>
      <c r="B48" s="69" t="s">
        <v>1201</v>
      </c>
      <c r="C48" s="152" t="s">
        <v>860</v>
      </c>
      <c r="D48" s="68" t="s">
        <v>1202</v>
      </c>
      <c r="E48" s="68" t="s">
        <v>1203</v>
      </c>
      <c r="F48" s="152" t="s">
        <v>888</v>
      </c>
      <c r="G48" s="152" t="s">
        <v>888</v>
      </c>
      <c r="H48" s="68" t="s">
        <v>1204</v>
      </c>
      <c r="I48" s="152" t="s">
        <v>878</v>
      </c>
      <c r="J48" s="152" t="s">
        <v>864</v>
      </c>
      <c r="K48" s="153" t="n">
        <f aca="false">IFERROR(INDEX($AB$6:$AB$12,MATCH($I48,$AA$6:$AA$12,0)),"")</f>
        <v>2</v>
      </c>
      <c r="L48" s="153" t="n">
        <f aca="false">IFERROR(INDEX($AB$6:$AB$12,MATCH($J48,$AA$6:$AA$12,0)),"")</f>
        <v>3</v>
      </c>
      <c r="M48" s="67" t="n">
        <f aca="false">IF(OR($K48="",$L48=""),"",$L48-$K48)</f>
        <v>1</v>
      </c>
      <c r="N48" s="152" t="s">
        <v>866</v>
      </c>
      <c r="O48" s="32" t="n">
        <f aca="false">IFERROR(VALUE(LEFT($N48,1)),"")</f>
        <v>4</v>
      </c>
      <c r="P48" s="154" t="s">
        <v>1205</v>
      </c>
      <c r="Q48" s="69" t="s">
        <v>959</v>
      </c>
      <c r="R48" s="69" t="str">
        <f aca="false">IF(ISNUMBER(SEARCH("D+C",$Q48)),"D+C",IF(OR($Q48="D",ISNUMBER(SEARCH("D par éditeur",$Q48))),"D",IF(OR($Q48="P",ISNUMBER(SEARCH("P recherche",$Q48))),"P",IF($Q48="A","A",IF(ISNUMBER(SEARCH("PNO",$Q48)),"PNO","")))))</f>
        <v>D</v>
      </c>
      <c r="S48" s="152" t="str">
        <f aca="false">IF(OR(ISNUMBER(SEARCH("Annexe III 4",$P48)),ISNUMBER(SEARCH("Annexe III 5",$P48))),"Oui","Non")</f>
        <v>Non</v>
      </c>
      <c r="T48" s="154" t="s">
        <v>1206</v>
      </c>
      <c r="U48" s="154" t="s">
        <v>1207</v>
      </c>
      <c r="V48" s="155" t="s">
        <v>1208</v>
      </c>
    </row>
    <row r="49" customFormat="false" ht="50.7" hidden="false" customHeight="false" outlineLevel="0" collapsed="false">
      <c r="A49" s="151" t="s">
        <v>1167</v>
      </c>
      <c r="B49" s="69" t="s">
        <v>1209</v>
      </c>
      <c r="C49" s="152" t="s">
        <v>860</v>
      </c>
      <c r="D49" s="68" t="s">
        <v>1210</v>
      </c>
      <c r="E49" s="68" t="s">
        <v>1211</v>
      </c>
      <c r="F49" s="152" t="s">
        <v>1212</v>
      </c>
      <c r="G49" s="152" t="s">
        <v>888</v>
      </c>
      <c r="H49" s="68" t="s">
        <v>1213</v>
      </c>
      <c r="I49" s="152" t="s">
        <v>864</v>
      </c>
      <c r="J49" s="152" t="s">
        <v>864</v>
      </c>
      <c r="K49" s="153" t="n">
        <f aca="false">IFERROR(INDEX($AB$6:$AB$12,MATCH($I49,$AA$6:$AA$12,0)),"")</f>
        <v>3</v>
      </c>
      <c r="L49" s="153" t="n">
        <f aca="false">IFERROR(INDEX($AB$6:$AB$12,MATCH($J49,$AA$6:$AA$12,0)),"")</f>
        <v>3</v>
      </c>
      <c r="M49" s="67" t="n">
        <f aca="false">IF(OR($K49="",$L49=""),"",$L49-$K49)</f>
        <v>0</v>
      </c>
      <c r="N49" s="152" t="s">
        <v>910</v>
      </c>
      <c r="O49" s="32" t="n">
        <f aca="false">IFERROR(VALUE(LEFT($N49,1)),"")</f>
        <v>3</v>
      </c>
      <c r="P49" s="154" t="s">
        <v>1214</v>
      </c>
      <c r="Q49" s="69" t="s">
        <v>959</v>
      </c>
      <c r="R49" s="69" t="str">
        <f aca="false">IF(ISNUMBER(SEARCH("D+C",$Q49)),"D+C",IF(OR($Q49="D",ISNUMBER(SEARCH("D par éditeur",$Q49))),"D",IF(OR($Q49="P",ISNUMBER(SEARCH("P recherche",$Q49))),"P",IF($Q49="A","A",IF(ISNUMBER(SEARCH("PNO",$Q49)),"PNO","")))))</f>
        <v>D</v>
      </c>
      <c r="S49" s="152" t="str">
        <f aca="false">IF(OR(ISNUMBER(SEARCH("Annexe III 4",$P49)),ISNUMBER(SEARCH("Annexe III 5",$P49))),"Oui","Non")</f>
        <v>Non</v>
      </c>
      <c r="T49" s="154" t="s">
        <v>1215</v>
      </c>
      <c r="U49" s="154" t="s">
        <v>1216</v>
      </c>
      <c r="V49" s="155" t="s">
        <v>1217</v>
      </c>
    </row>
    <row r="50" customFormat="false" ht="19.4" hidden="false" customHeight="false" outlineLevel="0" collapsed="false">
      <c r="A50" s="151" t="s">
        <v>1167</v>
      </c>
      <c r="B50" s="69" t="s">
        <v>1218</v>
      </c>
      <c r="C50" s="152" t="s">
        <v>905</v>
      </c>
      <c r="D50" s="68" t="s">
        <v>1219</v>
      </c>
      <c r="E50" s="68" t="s">
        <v>1220</v>
      </c>
      <c r="F50" s="152" t="s">
        <v>1221</v>
      </c>
      <c r="G50" s="152" t="s">
        <v>1022</v>
      </c>
      <c r="H50" s="68" t="s">
        <v>1222</v>
      </c>
      <c r="I50" s="152" t="s">
        <v>864</v>
      </c>
      <c r="J50" s="152" t="s">
        <v>865</v>
      </c>
      <c r="K50" s="153" t="n">
        <f aca="false">IFERROR(INDEX($AB$6:$AB$12,MATCH($I50,$AA$6:$AA$12,0)),"")</f>
        <v>3</v>
      </c>
      <c r="L50" s="153" t="n">
        <f aca="false">IFERROR(INDEX($AB$6:$AB$12,MATCH($J50,$AA$6:$AA$12,0)),"")</f>
        <v>4</v>
      </c>
      <c r="M50" s="67" t="n">
        <f aca="false">IF(OR($K50="",$L50=""),"",$L50-$K50)</f>
        <v>1</v>
      </c>
      <c r="N50" s="152" t="s">
        <v>866</v>
      </c>
      <c r="O50" s="32" t="n">
        <f aca="false">IFERROR(VALUE(LEFT($N50,1)),"")</f>
        <v>4</v>
      </c>
      <c r="P50" s="154" t="s">
        <v>1223</v>
      </c>
      <c r="Q50" s="69" t="s">
        <v>912</v>
      </c>
      <c r="R50" s="69" t="str">
        <f aca="false">IF(ISNUMBER(SEARCH("D+C",$Q50)),"D+C",IF(OR($Q50="D",ISNUMBER(SEARCH("D par éditeur",$Q50))),"D",IF(OR($Q50="P",ISNUMBER(SEARCH("P recherche",$Q50))),"P",IF($Q50="A","A",IF(ISNUMBER(SEARCH("PNO",$Q50)),"PNO","")))))</f>
        <v>PNO</v>
      </c>
      <c r="S50" s="152" t="str">
        <f aca="false">IF(OR(ISNUMBER(SEARCH("Annexe III 4",$P50)),ISNUMBER(SEARCH("Annexe III 5",$P50))),"Oui","Non")</f>
        <v>Non</v>
      </c>
      <c r="T50" s="154" t="s">
        <v>1224</v>
      </c>
      <c r="U50" s="154" t="s">
        <v>914</v>
      </c>
      <c r="V50" s="155"/>
    </row>
    <row r="51" customFormat="false" ht="15" hidden="false" customHeight="false" outlineLevel="0" collapsed="false">
      <c r="A51" s="151" t="s">
        <v>1167</v>
      </c>
      <c r="B51" s="69" t="s">
        <v>1225</v>
      </c>
      <c r="C51" s="152" t="s">
        <v>905</v>
      </c>
      <c r="D51" s="68" t="s">
        <v>1226</v>
      </c>
      <c r="E51" s="68" t="s">
        <v>1227</v>
      </c>
      <c r="F51" s="152" t="s">
        <v>1195</v>
      </c>
      <c r="G51" s="152" t="s">
        <v>51</v>
      </c>
      <c r="H51" s="68" t="s">
        <v>1228</v>
      </c>
      <c r="I51" s="152" t="s">
        <v>878</v>
      </c>
      <c r="J51" s="152" t="s">
        <v>864</v>
      </c>
      <c r="K51" s="153" t="n">
        <f aca="false">IFERROR(INDEX($AB$6:$AB$12,MATCH($I51,$AA$6:$AA$12,0)),"")</f>
        <v>2</v>
      </c>
      <c r="L51" s="153" t="n">
        <f aca="false">IFERROR(INDEX($AB$6:$AB$12,MATCH($J51,$AA$6:$AA$12,0)),"")</f>
        <v>3</v>
      </c>
      <c r="M51" s="67" t="n">
        <f aca="false">IF(OR($K51="",$L51=""),"",$L51-$K51)</f>
        <v>1</v>
      </c>
      <c r="N51" s="152" t="s">
        <v>879</v>
      </c>
      <c r="O51" s="32" t="n">
        <f aca="false">IFERROR(VALUE(LEFT($N51,1)),"")</f>
        <v>2</v>
      </c>
      <c r="P51" s="154" t="s">
        <v>1229</v>
      </c>
      <c r="Q51" s="69" t="s">
        <v>912</v>
      </c>
      <c r="R51" s="69" t="str">
        <f aca="false">IF(ISNUMBER(SEARCH("D+C",$Q51)),"D+C",IF(OR($Q51="D",ISNUMBER(SEARCH("D par éditeur",$Q51))),"D",IF(OR($Q51="P",ISNUMBER(SEARCH("P recherche",$Q51))),"P",IF($Q51="A","A",IF(ISNUMBER(SEARCH("PNO",$Q51)),"PNO","")))))</f>
        <v>PNO</v>
      </c>
      <c r="S51" s="152" t="str">
        <f aca="false">IF(OR(ISNUMBER(SEARCH("Annexe III 4",$P51)),ISNUMBER(SEARCH("Annexe III 5",$P51))),"Oui","Non")</f>
        <v>Non</v>
      </c>
      <c r="T51" s="154" t="s">
        <v>950</v>
      </c>
      <c r="U51" s="154" t="s">
        <v>914</v>
      </c>
      <c r="V51" s="155"/>
    </row>
    <row r="52" customFormat="false" ht="108.2" hidden="false" customHeight="false" outlineLevel="0" collapsed="false">
      <c r="A52" s="151" t="s">
        <v>1167</v>
      </c>
      <c r="B52" s="69" t="s">
        <v>1230</v>
      </c>
      <c r="C52" s="152" t="s">
        <v>905</v>
      </c>
      <c r="D52" s="68" t="s">
        <v>1231</v>
      </c>
      <c r="E52" s="68" t="s">
        <v>1232</v>
      </c>
      <c r="F52" s="152" t="s">
        <v>862</v>
      </c>
      <c r="G52" s="152" t="s">
        <v>1233</v>
      </c>
      <c r="H52" s="68" t="s">
        <v>1234</v>
      </c>
      <c r="I52" s="152" t="s">
        <v>878</v>
      </c>
      <c r="J52" s="152" t="s">
        <v>864</v>
      </c>
      <c r="K52" s="153" t="n">
        <f aca="false">IFERROR(INDEX($AB$6:$AB$12,MATCH($I52,$AA$6:$AA$12,0)),"")</f>
        <v>2</v>
      </c>
      <c r="L52" s="153" t="n">
        <f aca="false">IFERROR(INDEX($AB$6:$AB$12,MATCH($J52,$AA$6:$AA$12,0)),"")</f>
        <v>3</v>
      </c>
      <c r="M52" s="67" t="n">
        <f aca="false">IF(OR($K52="",$L52=""),"",$L52-$K52)</f>
        <v>1</v>
      </c>
      <c r="N52" s="152" t="s">
        <v>879</v>
      </c>
      <c r="O52" s="32" t="n">
        <f aca="false">IFERROR(VALUE(LEFT($N52,1)),"")</f>
        <v>2</v>
      </c>
      <c r="P52" s="154" t="s">
        <v>1235</v>
      </c>
      <c r="Q52" s="69" t="s">
        <v>941</v>
      </c>
      <c r="R52" s="69" t="str">
        <f aca="false">IF(ISNUMBER(SEARCH("D+C",$Q52)),"D+C",IF(OR($Q52="D",ISNUMBER(SEARCH("D par éditeur",$Q52))),"D",IF(OR($Q52="P",ISNUMBER(SEARCH("P recherche",$Q52))),"P",IF($Q52="A","A",IF(ISNUMBER(SEARCH("PNO",$Q52)),"PNO","")))))</f>
        <v>A</v>
      </c>
      <c r="S52" s="152" t="str">
        <f aca="false">IF(OR(ISNUMBER(SEARCH("Annexe III 4",$P52)),ISNUMBER(SEARCH("Annexe III 5",$P52))),"Oui","Non")</f>
        <v>Non</v>
      </c>
      <c r="T52" s="154" t="s">
        <v>1236</v>
      </c>
      <c r="U52" s="154" t="s">
        <v>1237</v>
      </c>
      <c r="V52" s="155" t="s">
        <v>1238</v>
      </c>
    </row>
    <row r="53" customFormat="false" ht="19.4" hidden="false" customHeight="false" outlineLevel="0" collapsed="false">
      <c r="A53" s="151" t="s">
        <v>1167</v>
      </c>
      <c r="B53" s="69" t="s">
        <v>1239</v>
      </c>
      <c r="C53" s="152" t="s">
        <v>905</v>
      </c>
      <c r="D53" s="68" t="s">
        <v>1240</v>
      </c>
      <c r="E53" s="68" t="s">
        <v>1241</v>
      </c>
      <c r="F53" s="152" t="s">
        <v>888</v>
      </c>
      <c r="G53" s="152" t="s">
        <v>1022</v>
      </c>
      <c r="H53" s="68" t="s">
        <v>1242</v>
      </c>
      <c r="I53" s="152" t="s">
        <v>864</v>
      </c>
      <c r="J53" s="152" t="s">
        <v>864</v>
      </c>
      <c r="K53" s="153" t="n">
        <f aca="false">IFERROR(INDEX($AB$6:$AB$12,MATCH($I53,$AA$6:$AA$12,0)),"")</f>
        <v>3</v>
      </c>
      <c r="L53" s="153" t="n">
        <f aca="false">IFERROR(INDEX($AB$6:$AB$12,MATCH($J53,$AA$6:$AA$12,0)),"")</f>
        <v>3</v>
      </c>
      <c r="M53" s="67" t="n">
        <f aca="false">IF(OR($K53="",$L53=""),"",$L53-$K53)</f>
        <v>0</v>
      </c>
      <c r="N53" s="152" t="s">
        <v>866</v>
      </c>
      <c r="O53" s="32" t="n">
        <f aca="false">IFERROR(VALUE(LEFT($N53,1)),"")</f>
        <v>4</v>
      </c>
      <c r="P53" s="154" t="s">
        <v>1243</v>
      </c>
      <c r="Q53" s="69" t="s">
        <v>912</v>
      </c>
      <c r="R53" s="69" t="str">
        <f aca="false">IF(ISNUMBER(SEARCH("D+C",$Q53)),"D+C",IF(OR($Q53="D",ISNUMBER(SEARCH("D par éditeur",$Q53))),"D",IF(OR($Q53="P",ISNUMBER(SEARCH("P recherche",$Q53))),"P",IF($Q53="A","A",IF(ISNUMBER(SEARCH("PNO",$Q53)),"PNO","")))))</f>
        <v>PNO</v>
      </c>
      <c r="S53" s="152" t="str">
        <f aca="false">IF(OR(ISNUMBER(SEARCH("Annexe III 4",$P53)),ISNUMBER(SEARCH("Annexe III 5",$P53))),"Oui","Non")</f>
        <v>Non</v>
      </c>
      <c r="T53" s="154" t="s">
        <v>913</v>
      </c>
      <c r="U53" s="154" t="s">
        <v>914</v>
      </c>
      <c r="V53" s="155"/>
    </row>
    <row r="54" customFormat="false" ht="15" hidden="false" customHeight="false" outlineLevel="0" collapsed="false">
      <c r="A54" s="151" t="s">
        <v>1167</v>
      </c>
      <c r="B54" s="69" t="s">
        <v>1244</v>
      </c>
      <c r="C54" s="152" t="s">
        <v>905</v>
      </c>
      <c r="D54" s="68" t="s">
        <v>1245</v>
      </c>
      <c r="E54" s="68" t="s">
        <v>1246</v>
      </c>
      <c r="F54" s="152" t="s">
        <v>888</v>
      </c>
      <c r="G54" s="152" t="s">
        <v>51</v>
      </c>
      <c r="H54" s="68" t="s">
        <v>1247</v>
      </c>
      <c r="I54" s="152" t="s">
        <v>878</v>
      </c>
      <c r="J54" s="152" t="s">
        <v>878</v>
      </c>
      <c r="K54" s="153" t="n">
        <f aca="false">IFERROR(INDEX($AB$6:$AB$12,MATCH($I54,$AA$6:$AA$12,0)),"")</f>
        <v>2</v>
      </c>
      <c r="L54" s="153" t="n">
        <f aca="false">IFERROR(INDEX($AB$6:$AB$12,MATCH($J54,$AA$6:$AA$12,0)),"")</f>
        <v>2</v>
      </c>
      <c r="M54" s="67" t="n">
        <f aca="false">IF(OR($K54="",$L54=""),"",$L54-$K54)</f>
        <v>0</v>
      </c>
      <c r="N54" s="152" t="s">
        <v>866</v>
      </c>
      <c r="O54" s="32" t="n">
        <f aca="false">IFERROR(VALUE(LEFT($N54,1)),"")</f>
        <v>4</v>
      </c>
      <c r="P54" s="154" t="s">
        <v>1248</v>
      </c>
      <c r="Q54" s="69" t="s">
        <v>912</v>
      </c>
      <c r="R54" s="69" t="str">
        <f aca="false">IF(ISNUMBER(SEARCH("D+C",$Q54)),"D+C",IF(OR($Q54="D",ISNUMBER(SEARCH("D par éditeur",$Q54))),"D",IF(OR($Q54="P",ISNUMBER(SEARCH("P recherche",$Q54))),"P",IF($Q54="A","A",IF(ISNUMBER(SEARCH("PNO",$Q54)),"PNO","")))))</f>
        <v>PNO</v>
      </c>
      <c r="S54" s="152" t="str">
        <f aca="false">IF(OR(ISNUMBER(SEARCH("Annexe III 4",$P54)),ISNUMBER(SEARCH("Annexe III 5",$P54))),"Oui","Non")</f>
        <v>Non</v>
      </c>
      <c r="T54" s="154" t="s">
        <v>950</v>
      </c>
      <c r="U54" s="154" t="s">
        <v>914</v>
      </c>
      <c r="V54" s="155"/>
    </row>
    <row r="55" customFormat="false" ht="19.4" hidden="false" customHeight="false" outlineLevel="0" collapsed="false">
      <c r="A55" s="151" t="s">
        <v>1167</v>
      </c>
      <c r="B55" s="69" t="s">
        <v>1249</v>
      </c>
      <c r="C55" s="152" t="s">
        <v>905</v>
      </c>
      <c r="D55" s="68" t="s">
        <v>1250</v>
      </c>
      <c r="E55" s="68" t="s">
        <v>1251</v>
      </c>
      <c r="F55" s="152" t="s">
        <v>977</v>
      </c>
      <c r="G55" s="152" t="s">
        <v>51</v>
      </c>
      <c r="H55" s="68" t="s">
        <v>1252</v>
      </c>
      <c r="I55" s="152" t="s">
        <v>878</v>
      </c>
      <c r="J55" s="152" t="s">
        <v>865</v>
      </c>
      <c r="K55" s="153" t="n">
        <f aca="false">IFERROR(INDEX($AB$6:$AB$12,MATCH($I55,$AA$6:$AA$12,0)),"")</f>
        <v>2</v>
      </c>
      <c r="L55" s="153" t="n">
        <f aca="false">IFERROR(INDEX($AB$6:$AB$12,MATCH($J55,$AA$6:$AA$12,0)),"")</f>
        <v>4</v>
      </c>
      <c r="M55" s="67" t="n">
        <f aca="false">IF(OR($K55="",$L55=""),"",$L55-$K55)</f>
        <v>2</v>
      </c>
      <c r="N55" s="152" t="s">
        <v>866</v>
      </c>
      <c r="O55" s="32" t="n">
        <f aca="false">IFERROR(VALUE(LEFT($N55,1)),"")</f>
        <v>4</v>
      </c>
      <c r="P55" s="154" t="s">
        <v>1253</v>
      </c>
      <c r="Q55" s="69" t="s">
        <v>912</v>
      </c>
      <c r="R55" s="69" t="str">
        <f aca="false">IF(ISNUMBER(SEARCH("D+C",$Q55)),"D+C",IF(OR($Q55="D",ISNUMBER(SEARCH("D par éditeur",$Q55))),"D",IF(OR($Q55="P",ISNUMBER(SEARCH("P recherche",$Q55))),"P",IF($Q55="A","A",IF(ISNUMBER(SEARCH("PNO",$Q55)),"PNO","")))))</f>
        <v>PNO</v>
      </c>
      <c r="S55" s="152" t="str">
        <f aca="false">IF(OR(ISNUMBER(SEARCH("Annexe III 4",$P55)),ISNUMBER(SEARCH("Annexe III 5",$P55))),"Oui","Non")</f>
        <v>Non</v>
      </c>
      <c r="T55" s="154" t="s">
        <v>950</v>
      </c>
      <c r="U55" s="154" t="s">
        <v>914</v>
      </c>
      <c r="V55" s="155"/>
    </row>
    <row r="56" customFormat="false" ht="19.4" hidden="false" customHeight="false" outlineLevel="0" collapsed="false">
      <c r="A56" s="151" t="s">
        <v>1167</v>
      </c>
      <c r="B56" s="69" t="s">
        <v>1254</v>
      </c>
      <c r="C56" s="152" t="s">
        <v>905</v>
      </c>
      <c r="D56" s="68" t="s">
        <v>1255</v>
      </c>
      <c r="E56" s="68" t="s">
        <v>1256</v>
      </c>
      <c r="F56" s="152" t="s">
        <v>888</v>
      </c>
      <c r="G56" s="152" t="s">
        <v>1022</v>
      </c>
      <c r="H56" s="68" t="s">
        <v>1257</v>
      </c>
      <c r="I56" s="152" t="s">
        <v>878</v>
      </c>
      <c r="J56" s="152" t="s">
        <v>864</v>
      </c>
      <c r="K56" s="153" t="n">
        <f aca="false">IFERROR(INDEX($AB$6:$AB$12,MATCH($I56,$AA$6:$AA$12,0)),"")</f>
        <v>2</v>
      </c>
      <c r="L56" s="153" t="n">
        <f aca="false">IFERROR(INDEX($AB$6:$AB$12,MATCH($J56,$AA$6:$AA$12,0)),"")</f>
        <v>3</v>
      </c>
      <c r="M56" s="67" t="n">
        <f aca="false">IF(OR($K56="",$L56=""),"",$L56-$K56)</f>
        <v>1</v>
      </c>
      <c r="N56" s="152" t="s">
        <v>866</v>
      </c>
      <c r="O56" s="32" t="n">
        <f aca="false">IFERROR(VALUE(LEFT($N56,1)),"")</f>
        <v>4</v>
      </c>
      <c r="P56" s="154" t="s">
        <v>1258</v>
      </c>
      <c r="Q56" s="69" t="s">
        <v>912</v>
      </c>
      <c r="R56" s="69" t="str">
        <f aca="false">IF(ISNUMBER(SEARCH("D+C",$Q56)),"D+C",IF(OR($Q56="D",ISNUMBER(SEARCH("D par éditeur",$Q56))),"D",IF(OR($Q56="P",ISNUMBER(SEARCH("P recherche",$Q56))),"P",IF($Q56="A","A",IF(ISNUMBER(SEARCH("PNO",$Q56)),"PNO","")))))</f>
        <v>PNO</v>
      </c>
      <c r="S56" s="152" t="str">
        <f aca="false">IF(OR(ISNUMBER(SEARCH("Annexe III 4",$P56)),ISNUMBER(SEARCH("Annexe III 5",$P56))),"Oui","Non")</f>
        <v>Non</v>
      </c>
      <c r="T56" s="154" t="s">
        <v>950</v>
      </c>
      <c r="U56" s="154" t="s">
        <v>914</v>
      </c>
      <c r="V56" s="155"/>
    </row>
    <row r="57" customFormat="false" ht="19.4" hidden="false" customHeight="false" outlineLevel="0" collapsed="false">
      <c r="A57" s="151" t="s">
        <v>1167</v>
      </c>
      <c r="B57" s="69" t="s">
        <v>1259</v>
      </c>
      <c r="C57" s="152" t="s">
        <v>905</v>
      </c>
      <c r="D57" s="68" t="s">
        <v>1260</v>
      </c>
      <c r="E57" s="68" t="s">
        <v>1261</v>
      </c>
      <c r="F57" s="152" t="s">
        <v>888</v>
      </c>
      <c r="G57" s="152" t="s">
        <v>51</v>
      </c>
      <c r="H57" s="68" t="s">
        <v>1262</v>
      </c>
      <c r="I57" s="152" t="s">
        <v>878</v>
      </c>
      <c r="J57" s="152" t="s">
        <v>864</v>
      </c>
      <c r="K57" s="153" t="n">
        <f aca="false">IFERROR(INDEX($AB$6:$AB$12,MATCH($I57,$AA$6:$AA$12,0)),"")</f>
        <v>2</v>
      </c>
      <c r="L57" s="153" t="n">
        <f aca="false">IFERROR(INDEX($AB$6:$AB$12,MATCH($J57,$AA$6:$AA$12,0)),"")</f>
        <v>3</v>
      </c>
      <c r="M57" s="67" t="n">
        <f aca="false">IF(OR($K57="",$L57=""),"",$L57-$K57)</f>
        <v>1</v>
      </c>
      <c r="N57" s="152" t="s">
        <v>866</v>
      </c>
      <c r="O57" s="32" t="n">
        <f aca="false">IFERROR(VALUE(LEFT($N57,1)),"")</f>
        <v>4</v>
      </c>
      <c r="P57" s="154" t="s">
        <v>1263</v>
      </c>
      <c r="Q57" s="69" t="s">
        <v>912</v>
      </c>
      <c r="R57" s="69" t="str">
        <f aca="false">IF(ISNUMBER(SEARCH("D+C",$Q57)),"D+C",IF(OR($Q57="D",ISNUMBER(SEARCH("D par éditeur",$Q57))),"D",IF(OR($Q57="P",ISNUMBER(SEARCH("P recherche",$Q57))),"P",IF($Q57="A","A",IF(ISNUMBER(SEARCH("PNO",$Q57)),"PNO","")))))</f>
        <v>PNO</v>
      </c>
      <c r="S57" s="152" t="str">
        <f aca="false">IF(OR(ISNUMBER(SEARCH("Annexe III 4",$P57)),ISNUMBER(SEARCH("Annexe III 5",$P57))),"Oui","Non")</f>
        <v>Non</v>
      </c>
      <c r="T57" s="154" t="s">
        <v>950</v>
      </c>
      <c r="U57" s="154" t="s">
        <v>914</v>
      </c>
      <c r="V57" s="155"/>
    </row>
    <row r="58" customFormat="false" ht="50.7" hidden="false" customHeight="false" outlineLevel="0" collapsed="false">
      <c r="A58" s="151" t="s">
        <v>1264</v>
      </c>
      <c r="B58" s="69" t="s">
        <v>1265</v>
      </c>
      <c r="C58" s="152" t="s">
        <v>860</v>
      </c>
      <c r="D58" s="68" t="s">
        <v>1266</v>
      </c>
      <c r="E58" s="68" t="s">
        <v>1267</v>
      </c>
      <c r="F58" s="152" t="s">
        <v>888</v>
      </c>
      <c r="G58" s="152" t="s">
        <v>888</v>
      </c>
      <c r="H58" s="68" t="s">
        <v>1268</v>
      </c>
      <c r="I58" s="152" t="s">
        <v>864</v>
      </c>
      <c r="J58" s="152" t="s">
        <v>865</v>
      </c>
      <c r="K58" s="153" t="n">
        <f aca="false">IFERROR(INDEX($AB$6:$AB$12,MATCH($I58,$AA$6:$AA$12,0)),"")</f>
        <v>3</v>
      </c>
      <c r="L58" s="153" t="n">
        <f aca="false">IFERROR(INDEX($AB$6:$AB$12,MATCH($J58,$AA$6:$AA$12,0)),"")</f>
        <v>4</v>
      </c>
      <c r="M58" s="67" t="n">
        <f aca="false">IF(OR($K58="",$L58=""),"",$L58-$K58)</f>
        <v>1</v>
      </c>
      <c r="N58" s="152" t="s">
        <v>879</v>
      </c>
      <c r="O58" s="32" t="n">
        <f aca="false">IFERROR(VALUE(LEFT($N58,1)),"")</f>
        <v>2</v>
      </c>
      <c r="P58" s="154" t="s">
        <v>1269</v>
      </c>
      <c r="Q58" s="69" t="s">
        <v>868</v>
      </c>
      <c r="R58" s="69" t="str">
        <f aca="false">IF(ISNUMBER(SEARCH("D+C",$Q58)),"D+C",IF(OR($Q58="D",ISNUMBER(SEARCH("D par éditeur",$Q58))),"D",IF(OR($Q58="P",ISNUMBER(SEARCH("P recherche",$Q58))),"P",IF($Q58="A","A",IF(ISNUMBER(SEARCH("PNO",$Q58)),"PNO","")))))</f>
        <v>D+C</v>
      </c>
      <c r="S58" s="152" t="str">
        <f aca="false">IF(OR(ISNUMBER(SEARCH("Annexe III 4",$P58)),ISNUMBER(SEARCH("Annexe III 5",$P58))),"Oui","Non")</f>
        <v>Non</v>
      </c>
      <c r="T58" s="154" t="s">
        <v>1270</v>
      </c>
      <c r="U58" s="154" t="s">
        <v>1271</v>
      </c>
      <c r="V58" s="155" t="s">
        <v>1272</v>
      </c>
    </row>
    <row r="59" customFormat="false" ht="75.35" hidden="false" customHeight="false" outlineLevel="0" collapsed="false">
      <c r="A59" s="151" t="s">
        <v>1264</v>
      </c>
      <c r="B59" s="69" t="s">
        <v>1273</v>
      </c>
      <c r="C59" s="152" t="s">
        <v>860</v>
      </c>
      <c r="D59" s="68" t="s">
        <v>1274</v>
      </c>
      <c r="E59" s="68" t="s">
        <v>1275</v>
      </c>
      <c r="F59" s="152" t="s">
        <v>888</v>
      </c>
      <c r="G59" s="152" t="s">
        <v>1276</v>
      </c>
      <c r="H59" s="68" t="s">
        <v>1277</v>
      </c>
      <c r="I59" s="152" t="s">
        <v>864</v>
      </c>
      <c r="J59" s="152" t="s">
        <v>864</v>
      </c>
      <c r="K59" s="153" t="n">
        <f aca="false">IFERROR(INDEX($AB$6:$AB$12,MATCH($I59,$AA$6:$AA$12,0)),"")</f>
        <v>3</v>
      </c>
      <c r="L59" s="153" t="n">
        <f aca="false">IFERROR(INDEX($AB$6:$AB$12,MATCH($J59,$AA$6:$AA$12,0)),"")</f>
        <v>3</v>
      </c>
      <c r="M59" s="67" t="n">
        <f aca="false">IF(OR($K59="",$L59=""),"",$L59-$K59)</f>
        <v>0</v>
      </c>
      <c r="N59" s="152" t="s">
        <v>921</v>
      </c>
      <c r="O59" s="32" t="n">
        <f aca="false">IFERROR(VALUE(LEFT($N59,1)),"")</f>
        <v>5</v>
      </c>
      <c r="P59" s="154" t="s">
        <v>1278</v>
      </c>
      <c r="Q59" s="69" t="s">
        <v>1279</v>
      </c>
      <c r="R59" s="69" t="str">
        <f aca="false">IF(ISNUMBER(SEARCH("D+C",$Q59)),"D+C",IF(OR($Q59="D",ISNUMBER(SEARCH("D par éditeur",$Q59))),"D",IF(OR($Q59="P",ISNUMBER(SEARCH("P recherche",$Q59))),"P",IF($Q59="A","A",IF(ISNUMBER(SEARCH("PNO",$Q59)),"PNO","")))))</f>
        <v>P</v>
      </c>
      <c r="S59" s="152" t="str">
        <f aca="false">IF(OR(ISNUMBER(SEARCH("Annexe III 4",$P59)),ISNUMBER(SEARCH("Annexe III 5",$P59))),"Oui","Non")</f>
        <v>Non</v>
      </c>
      <c r="T59" s="154" t="s">
        <v>1280</v>
      </c>
      <c r="U59" s="154" t="s">
        <v>1281</v>
      </c>
      <c r="V59" s="155" t="s">
        <v>1012</v>
      </c>
    </row>
    <row r="60" customFormat="false" ht="19.4" hidden="false" customHeight="false" outlineLevel="0" collapsed="false">
      <c r="A60" s="151" t="s">
        <v>1264</v>
      </c>
      <c r="B60" s="69" t="s">
        <v>1282</v>
      </c>
      <c r="C60" s="152" t="s">
        <v>860</v>
      </c>
      <c r="D60" s="68" t="s">
        <v>1283</v>
      </c>
      <c r="E60" s="68" t="s">
        <v>1284</v>
      </c>
      <c r="F60" s="152" t="s">
        <v>888</v>
      </c>
      <c r="G60" s="152" t="s">
        <v>1285</v>
      </c>
      <c r="H60" s="68" t="s">
        <v>1286</v>
      </c>
      <c r="I60" s="152" t="s">
        <v>878</v>
      </c>
      <c r="J60" s="152" t="s">
        <v>864</v>
      </c>
      <c r="K60" s="153" t="n">
        <f aca="false">IFERROR(INDEX($AB$6:$AB$12,MATCH($I60,$AA$6:$AA$12,0)),"")</f>
        <v>2</v>
      </c>
      <c r="L60" s="153" t="n">
        <f aca="false">IFERROR(INDEX($AB$6:$AB$12,MATCH($J60,$AA$6:$AA$12,0)),"")</f>
        <v>3</v>
      </c>
      <c r="M60" s="67" t="n">
        <f aca="false">IF(OR($K60="",$L60=""),"",$L60-$K60)</f>
        <v>1</v>
      </c>
      <c r="N60" s="152" t="s">
        <v>879</v>
      </c>
      <c r="O60" s="32" t="n">
        <f aca="false">IFERROR(VALUE(LEFT($N60,1)),"")</f>
        <v>2</v>
      </c>
      <c r="P60" s="154" t="s">
        <v>1287</v>
      </c>
      <c r="Q60" s="69" t="s">
        <v>912</v>
      </c>
      <c r="R60" s="69" t="str">
        <f aca="false">IF(ISNUMBER(SEARCH("D+C",$Q60)),"D+C",IF(OR($Q60="D",ISNUMBER(SEARCH("D par éditeur",$Q60))),"D",IF(OR($Q60="P",ISNUMBER(SEARCH("P recherche",$Q60))),"P",IF($Q60="A","A",IF(ISNUMBER(SEARCH("PNO",$Q60)),"PNO","")))))</f>
        <v>PNO</v>
      </c>
      <c r="S60" s="152" t="str">
        <f aca="false">IF(OR(ISNUMBER(SEARCH("Annexe III 4",$P60)),ISNUMBER(SEARCH("Annexe III 5",$P60))),"Oui","Non")</f>
        <v>Non</v>
      </c>
      <c r="T60" s="154" t="s">
        <v>913</v>
      </c>
      <c r="U60" s="154" t="s">
        <v>914</v>
      </c>
      <c r="V60" s="155"/>
    </row>
    <row r="61" customFormat="false" ht="19.4" hidden="false" customHeight="false" outlineLevel="0" collapsed="false">
      <c r="A61" s="151" t="s">
        <v>1264</v>
      </c>
      <c r="B61" s="69" t="s">
        <v>1288</v>
      </c>
      <c r="C61" s="152" t="s">
        <v>860</v>
      </c>
      <c r="D61" s="68" t="s">
        <v>1289</v>
      </c>
      <c r="E61" s="68" t="s">
        <v>1290</v>
      </c>
      <c r="F61" s="152" t="s">
        <v>888</v>
      </c>
      <c r="G61" s="152" t="s">
        <v>919</v>
      </c>
      <c r="H61" s="68" t="s">
        <v>1291</v>
      </c>
      <c r="I61" s="152" t="s">
        <v>878</v>
      </c>
      <c r="J61" s="152" t="s">
        <v>878</v>
      </c>
      <c r="K61" s="153" t="n">
        <f aca="false">IFERROR(INDEX($AB$6:$AB$12,MATCH($I61,$AA$6:$AA$12,0)),"")</f>
        <v>2</v>
      </c>
      <c r="L61" s="153" t="n">
        <f aca="false">IFERROR(INDEX($AB$6:$AB$12,MATCH($J61,$AA$6:$AA$12,0)),"")</f>
        <v>2</v>
      </c>
      <c r="M61" s="67" t="n">
        <f aca="false">IF(OR($K61="",$L61=""),"",$L61-$K61)</f>
        <v>0</v>
      </c>
      <c r="N61" s="152" t="s">
        <v>866</v>
      </c>
      <c r="O61" s="32" t="n">
        <f aca="false">IFERROR(VALUE(LEFT($N61,1)),"")</f>
        <v>4</v>
      </c>
      <c r="P61" s="154" t="s">
        <v>1292</v>
      </c>
      <c r="Q61" s="69" t="s">
        <v>912</v>
      </c>
      <c r="R61" s="69" t="str">
        <f aca="false">IF(ISNUMBER(SEARCH("D+C",$Q61)),"D+C",IF(OR($Q61="D",ISNUMBER(SEARCH("D par éditeur",$Q61))),"D",IF(OR($Q61="P",ISNUMBER(SEARCH("P recherche",$Q61))),"P",IF($Q61="A","A",IF(ISNUMBER(SEARCH("PNO",$Q61)),"PNO","")))))</f>
        <v>PNO</v>
      </c>
      <c r="S61" s="152" t="str">
        <f aca="false">IF(OR(ISNUMBER(SEARCH("Annexe III 4",$P61)),ISNUMBER(SEARCH("Annexe III 5",$P61))),"Oui","Non")</f>
        <v>Non</v>
      </c>
      <c r="T61" s="154" t="s">
        <v>950</v>
      </c>
      <c r="U61" s="154" t="s">
        <v>914</v>
      </c>
      <c r="V61" s="155"/>
    </row>
    <row r="62" customFormat="false" ht="67.15" hidden="false" customHeight="false" outlineLevel="0" collapsed="false">
      <c r="A62" s="151" t="s">
        <v>1264</v>
      </c>
      <c r="B62" s="69" t="s">
        <v>1293</v>
      </c>
      <c r="C62" s="152" t="s">
        <v>860</v>
      </c>
      <c r="D62" s="68" t="s">
        <v>1294</v>
      </c>
      <c r="E62" s="68" t="s">
        <v>1295</v>
      </c>
      <c r="F62" s="152" t="s">
        <v>1296</v>
      </c>
      <c r="G62" s="152" t="s">
        <v>1297</v>
      </c>
      <c r="H62" s="68" t="s">
        <v>1298</v>
      </c>
      <c r="I62" s="152" t="s">
        <v>878</v>
      </c>
      <c r="J62" s="152" t="s">
        <v>864</v>
      </c>
      <c r="K62" s="153" t="n">
        <f aca="false">IFERROR(INDEX($AB$6:$AB$12,MATCH($I62,$AA$6:$AA$12,0)),"")</f>
        <v>2</v>
      </c>
      <c r="L62" s="153" t="n">
        <f aca="false">IFERROR(INDEX($AB$6:$AB$12,MATCH($J62,$AA$6:$AA$12,0)),"")</f>
        <v>3</v>
      </c>
      <c r="M62" s="67" t="n">
        <f aca="false">IF(OR($K62="",$L62=""),"",$L62-$K62)</f>
        <v>1</v>
      </c>
      <c r="N62" s="152" t="s">
        <v>921</v>
      </c>
      <c r="O62" s="32" t="n">
        <f aca="false">IFERROR(VALUE(LEFT($N62,1)),"")</f>
        <v>5</v>
      </c>
      <c r="P62" s="154" t="s">
        <v>1299</v>
      </c>
      <c r="Q62" s="69" t="s">
        <v>891</v>
      </c>
      <c r="R62" s="69" t="str">
        <f aca="false">IF(ISNUMBER(SEARCH("D+C",$Q62)),"D+C",IF(OR($Q62="D",ISNUMBER(SEARCH("D par éditeur",$Q62))),"D",IF(OR($Q62="P",ISNUMBER(SEARCH("P recherche",$Q62))),"P",IF($Q62="A","A",IF(ISNUMBER(SEARCH("PNO",$Q62)),"PNO","")))))</f>
        <v>P</v>
      </c>
      <c r="S62" s="152" t="str">
        <f aca="false">IF(OR(ISNUMBER(SEARCH("Annexe III 4",$P62)),ISNUMBER(SEARCH("Annexe III 5",$P62))),"Oui","Non")</f>
        <v>Non</v>
      </c>
      <c r="T62" s="154" t="s">
        <v>1300</v>
      </c>
      <c r="U62" s="154" t="s">
        <v>1301</v>
      </c>
      <c r="V62" s="155" t="s">
        <v>1302</v>
      </c>
    </row>
    <row r="63" customFormat="false" ht="42.5" hidden="false" customHeight="false" outlineLevel="0" collapsed="false">
      <c r="A63" s="151" t="s">
        <v>1264</v>
      </c>
      <c r="B63" s="69" t="s">
        <v>1303</v>
      </c>
      <c r="C63" s="152" t="s">
        <v>905</v>
      </c>
      <c r="D63" s="68" t="s">
        <v>1304</v>
      </c>
      <c r="E63" s="68" t="s">
        <v>1305</v>
      </c>
      <c r="F63" s="152" t="s">
        <v>888</v>
      </c>
      <c r="G63" s="152" t="s">
        <v>1306</v>
      </c>
      <c r="H63" s="68" t="s">
        <v>1307</v>
      </c>
      <c r="I63" s="152" t="s">
        <v>864</v>
      </c>
      <c r="J63" s="152" t="s">
        <v>865</v>
      </c>
      <c r="K63" s="153" t="n">
        <f aca="false">IFERROR(INDEX($AB$6:$AB$12,MATCH($I63,$AA$6:$AA$12,0)),"")</f>
        <v>3</v>
      </c>
      <c r="L63" s="153" t="n">
        <f aca="false">IFERROR(INDEX($AB$6:$AB$12,MATCH($J63,$AA$6:$AA$12,0)),"")</f>
        <v>4</v>
      </c>
      <c r="M63" s="67" t="n">
        <f aca="false">IF(OR($K63="",$L63=""),"",$L63-$K63)</f>
        <v>1</v>
      </c>
      <c r="N63" s="152" t="s">
        <v>879</v>
      </c>
      <c r="O63" s="32" t="n">
        <f aca="false">IFERROR(VALUE(LEFT($N63,1)),"")</f>
        <v>2</v>
      </c>
      <c r="P63" s="154" t="s">
        <v>1308</v>
      </c>
      <c r="Q63" s="69" t="s">
        <v>912</v>
      </c>
      <c r="R63" s="69" t="str">
        <f aca="false">IF(ISNUMBER(SEARCH("D+C",$Q63)),"D+C",IF(OR($Q63="D",ISNUMBER(SEARCH("D par éditeur",$Q63))),"D",IF(OR($Q63="P",ISNUMBER(SEARCH("P recherche",$Q63))),"P",IF($Q63="A","A",IF(ISNUMBER(SEARCH("PNO",$Q63)),"PNO","")))))</f>
        <v>PNO</v>
      </c>
      <c r="S63" s="152" t="str">
        <f aca="false">IF(OR(ISNUMBER(SEARCH("Annexe III 4",$P63)),ISNUMBER(SEARCH("Annexe III 5",$P63))),"Oui","Non")</f>
        <v>Non</v>
      </c>
      <c r="T63" s="154" t="s">
        <v>1309</v>
      </c>
      <c r="U63" s="154" t="s">
        <v>1310</v>
      </c>
      <c r="V63" s="155" t="s">
        <v>1311</v>
      </c>
    </row>
    <row r="64" customFormat="false" ht="19.4" hidden="false" customHeight="false" outlineLevel="0" collapsed="false">
      <c r="A64" s="151" t="s">
        <v>1264</v>
      </c>
      <c r="B64" s="69" t="s">
        <v>1312</v>
      </c>
      <c r="C64" s="152" t="s">
        <v>905</v>
      </c>
      <c r="D64" s="68" t="s">
        <v>1313</v>
      </c>
      <c r="E64" s="68" t="s">
        <v>1314</v>
      </c>
      <c r="F64" s="152" t="s">
        <v>1315</v>
      </c>
      <c r="G64" s="152" t="s">
        <v>1022</v>
      </c>
      <c r="H64" s="68" t="s">
        <v>1316</v>
      </c>
      <c r="I64" s="152" t="s">
        <v>864</v>
      </c>
      <c r="J64" s="152" t="s">
        <v>865</v>
      </c>
      <c r="K64" s="153" t="n">
        <f aca="false">IFERROR(INDEX($AB$6:$AB$12,MATCH($I64,$AA$6:$AA$12,0)),"")</f>
        <v>3</v>
      </c>
      <c r="L64" s="153" t="n">
        <f aca="false">IFERROR(INDEX($AB$6:$AB$12,MATCH($J64,$AA$6:$AA$12,0)),"")</f>
        <v>4</v>
      </c>
      <c r="M64" s="67" t="n">
        <f aca="false">IF(OR($K64="",$L64=""),"",$L64-$K64)</f>
        <v>1</v>
      </c>
      <c r="N64" s="152" t="s">
        <v>866</v>
      </c>
      <c r="O64" s="32" t="n">
        <f aca="false">IFERROR(VALUE(LEFT($N64,1)),"")</f>
        <v>4</v>
      </c>
      <c r="P64" s="154" t="s">
        <v>1317</v>
      </c>
      <c r="Q64" s="69" t="s">
        <v>912</v>
      </c>
      <c r="R64" s="69" t="str">
        <f aca="false">IF(ISNUMBER(SEARCH("D+C",$Q64)),"D+C",IF(OR($Q64="D",ISNUMBER(SEARCH("D par éditeur",$Q64))),"D",IF(OR($Q64="P",ISNUMBER(SEARCH("P recherche",$Q64))),"P",IF($Q64="A","A",IF(ISNUMBER(SEARCH("PNO",$Q64)),"PNO","")))))</f>
        <v>PNO</v>
      </c>
      <c r="S64" s="152" t="str">
        <f aca="false">IF(OR(ISNUMBER(SEARCH("Annexe III 4",$P64)),ISNUMBER(SEARCH("Annexe III 5",$P64))),"Oui","Non")</f>
        <v>Non</v>
      </c>
      <c r="T64" s="154" t="s">
        <v>950</v>
      </c>
      <c r="U64" s="154" t="s">
        <v>914</v>
      </c>
      <c r="V64" s="155"/>
    </row>
    <row r="65" customFormat="false" ht="19.4" hidden="false" customHeight="false" outlineLevel="0" collapsed="false">
      <c r="A65" s="151" t="s">
        <v>1264</v>
      </c>
      <c r="B65" s="69" t="s">
        <v>1318</v>
      </c>
      <c r="C65" s="152" t="s">
        <v>905</v>
      </c>
      <c r="D65" s="68" t="s">
        <v>1319</v>
      </c>
      <c r="E65" s="68" t="s">
        <v>1320</v>
      </c>
      <c r="F65" s="152" t="s">
        <v>862</v>
      </c>
      <c r="G65" s="152" t="s">
        <v>51</v>
      </c>
      <c r="H65" s="68" t="s">
        <v>1321</v>
      </c>
      <c r="I65" s="152" t="s">
        <v>878</v>
      </c>
      <c r="J65" s="152" t="s">
        <v>864</v>
      </c>
      <c r="K65" s="153" t="n">
        <f aca="false">IFERROR(INDEX($AB$6:$AB$12,MATCH($I65,$AA$6:$AA$12,0)),"")</f>
        <v>2</v>
      </c>
      <c r="L65" s="153" t="n">
        <f aca="false">IFERROR(INDEX($AB$6:$AB$12,MATCH($J65,$AA$6:$AA$12,0)),"")</f>
        <v>3</v>
      </c>
      <c r="M65" s="67" t="n">
        <f aca="false">IF(OR($K65="",$L65=""),"",$L65-$K65)</f>
        <v>1</v>
      </c>
      <c r="N65" s="152" t="s">
        <v>910</v>
      </c>
      <c r="O65" s="32" t="n">
        <f aca="false">IFERROR(VALUE(LEFT($N65,1)),"")</f>
        <v>3</v>
      </c>
      <c r="P65" s="154" t="s">
        <v>1322</v>
      </c>
      <c r="Q65" s="69" t="s">
        <v>912</v>
      </c>
      <c r="R65" s="69" t="str">
        <f aca="false">IF(ISNUMBER(SEARCH("D+C",$Q65)),"D+C",IF(OR($Q65="D",ISNUMBER(SEARCH("D par éditeur",$Q65))),"D",IF(OR($Q65="P",ISNUMBER(SEARCH("P recherche",$Q65))),"P",IF($Q65="A","A",IF(ISNUMBER(SEARCH("PNO",$Q65)),"PNO","")))))</f>
        <v>PNO</v>
      </c>
      <c r="S65" s="152" t="str">
        <f aca="false">IF(OR(ISNUMBER(SEARCH("Annexe III 4",$P65)),ISNUMBER(SEARCH("Annexe III 5",$P65))),"Oui","Non")</f>
        <v>Non</v>
      </c>
      <c r="T65" s="154" t="s">
        <v>950</v>
      </c>
      <c r="U65" s="154" t="s">
        <v>914</v>
      </c>
      <c r="V65" s="155"/>
    </row>
    <row r="66" customFormat="false" ht="19.4" hidden="false" customHeight="false" outlineLevel="0" collapsed="false">
      <c r="A66" s="151" t="s">
        <v>1264</v>
      </c>
      <c r="B66" s="69" t="s">
        <v>1323</v>
      </c>
      <c r="C66" s="152" t="s">
        <v>905</v>
      </c>
      <c r="D66" s="68" t="s">
        <v>1324</v>
      </c>
      <c r="E66" s="68" t="s">
        <v>1325</v>
      </c>
      <c r="F66" s="152" t="s">
        <v>888</v>
      </c>
      <c r="G66" s="152" t="s">
        <v>51</v>
      </c>
      <c r="H66" s="68" t="s">
        <v>1326</v>
      </c>
      <c r="I66" s="152" t="s">
        <v>864</v>
      </c>
      <c r="J66" s="152" t="s">
        <v>864</v>
      </c>
      <c r="K66" s="153" t="n">
        <f aca="false">IFERROR(INDEX($AB$6:$AB$12,MATCH($I66,$AA$6:$AA$12,0)),"")</f>
        <v>3</v>
      </c>
      <c r="L66" s="153" t="n">
        <f aca="false">IFERROR(INDEX($AB$6:$AB$12,MATCH($J66,$AA$6:$AA$12,0)),"")</f>
        <v>3</v>
      </c>
      <c r="M66" s="67" t="n">
        <f aca="false">IF(OR($K66="",$L66=""),"",$L66-$K66)</f>
        <v>0</v>
      </c>
      <c r="N66" s="152" t="s">
        <v>910</v>
      </c>
      <c r="O66" s="32" t="n">
        <f aca="false">IFERROR(VALUE(LEFT($N66,1)),"")</f>
        <v>3</v>
      </c>
      <c r="P66" s="154" t="s">
        <v>1327</v>
      </c>
      <c r="Q66" s="69" t="s">
        <v>912</v>
      </c>
      <c r="R66" s="69" t="str">
        <f aca="false">IF(ISNUMBER(SEARCH("D+C",$Q66)),"D+C",IF(OR($Q66="D",ISNUMBER(SEARCH("D par éditeur",$Q66))),"D",IF(OR($Q66="P",ISNUMBER(SEARCH("P recherche",$Q66))),"P",IF($Q66="A","A",IF(ISNUMBER(SEARCH("PNO",$Q66)),"PNO","")))))</f>
        <v>PNO</v>
      </c>
      <c r="S66" s="152" t="str">
        <f aca="false">IF(OR(ISNUMBER(SEARCH("Annexe III 4",$P66)),ISNUMBER(SEARCH("Annexe III 5",$P66))),"Oui","Non")</f>
        <v>Non</v>
      </c>
      <c r="T66" s="154" t="s">
        <v>950</v>
      </c>
      <c r="U66" s="154" t="s">
        <v>914</v>
      </c>
      <c r="V66" s="155"/>
    </row>
    <row r="67" customFormat="false" ht="75.35" hidden="false" customHeight="false" outlineLevel="0" collapsed="false">
      <c r="A67" s="151" t="s">
        <v>1264</v>
      </c>
      <c r="B67" s="69" t="s">
        <v>1328</v>
      </c>
      <c r="C67" s="152" t="s">
        <v>905</v>
      </c>
      <c r="D67" s="68" t="s">
        <v>1329</v>
      </c>
      <c r="E67" s="68" t="s">
        <v>1330</v>
      </c>
      <c r="F67" s="152" t="s">
        <v>1331</v>
      </c>
      <c r="G67" s="152" t="s">
        <v>1332</v>
      </c>
      <c r="H67" s="68" t="s">
        <v>1333</v>
      </c>
      <c r="I67" s="152" t="s">
        <v>878</v>
      </c>
      <c r="J67" s="152" t="s">
        <v>864</v>
      </c>
      <c r="K67" s="153" t="n">
        <f aca="false">IFERROR(INDEX($AB$6:$AB$12,MATCH($I67,$AA$6:$AA$12,0)),"")</f>
        <v>2</v>
      </c>
      <c r="L67" s="153" t="n">
        <f aca="false">IFERROR(INDEX($AB$6:$AB$12,MATCH($J67,$AA$6:$AA$12,0)),"")</f>
        <v>3</v>
      </c>
      <c r="M67" s="67" t="n">
        <f aca="false">IF(OR($K67="",$L67=""),"",$L67-$K67)</f>
        <v>1</v>
      </c>
      <c r="N67" s="152" t="s">
        <v>921</v>
      </c>
      <c r="O67" s="32" t="n">
        <f aca="false">IFERROR(VALUE(LEFT($N67,1)),"")</f>
        <v>5</v>
      </c>
      <c r="P67" s="154" t="s">
        <v>1334</v>
      </c>
      <c r="Q67" s="69" t="s">
        <v>891</v>
      </c>
      <c r="R67" s="69" t="str">
        <f aca="false">IF(ISNUMBER(SEARCH("D+C",$Q67)),"D+C",IF(OR($Q67="D",ISNUMBER(SEARCH("D par éditeur",$Q67))),"D",IF(OR($Q67="P",ISNUMBER(SEARCH("P recherche",$Q67))),"P",IF($Q67="A","A",IF(ISNUMBER(SEARCH("PNO",$Q67)),"PNO","")))))</f>
        <v>P</v>
      </c>
      <c r="S67" s="152" t="str">
        <f aca="false">IF(OR(ISNUMBER(SEARCH("Annexe III 4",$P67)),ISNUMBER(SEARCH("Annexe III 5",$P67))),"Oui","Non")</f>
        <v>Non</v>
      </c>
      <c r="T67" s="154" t="s">
        <v>1335</v>
      </c>
      <c r="U67" s="154" t="s">
        <v>1011</v>
      </c>
      <c r="V67" s="155" t="s">
        <v>1012</v>
      </c>
    </row>
    <row r="68" customFormat="false" ht="15" hidden="false" customHeight="false" outlineLevel="0" collapsed="false">
      <c r="A68" s="151" t="s">
        <v>1264</v>
      </c>
      <c r="B68" s="69" t="s">
        <v>1336</v>
      </c>
      <c r="C68" s="152" t="s">
        <v>905</v>
      </c>
      <c r="D68" s="68" t="s">
        <v>1337</v>
      </c>
      <c r="E68" s="68" t="s">
        <v>1338</v>
      </c>
      <c r="F68" s="152" t="s">
        <v>888</v>
      </c>
      <c r="G68" s="152" t="s">
        <v>51</v>
      </c>
      <c r="H68" s="68" t="s">
        <v>1339</v>
      </c>
      <c r="I68" s="152" t="s">
        <v>878</v>
      </c>
      <c r="J68" s="152" t="s">
        <v>864</v>
      </c>
      <c r="K68" s="153" t="n">
        <f aca="false">IFERROR(INDEX($AB$6:$AB$12,MATCH($I68,$AA$6:$AA$12,0)),"")</f>
        <v>2</v>
      </c>
      <c r="L68" s="153" t="n">
        <f aca="false">IFERROR(INDEX($AB$6:$AB$12,MATCH($J68,$AA$6:$AA$12,0)),"")</f>
        <v>3</v>
      </c>
      <c r="M68" s="67" t="n">
        <f aca="false">IF(OR($K68="",$L68=""),"",$L68-$K68)</f>
        <v>1</v>
      </c>
      <c r="N68" s="152" t="s">
        <v>910</v>
      </c>
      <c r="O68" s="32" t="n">
        <f aca="false">IFERROR(VALUE(LEFT($N68,1)),"")</f>
        <v>3</v>
      </c>
      <c r="P68" s="154" t="s">
        <v>1340</v>
      </c>
      <c r="Q68" s="69" t="s">
        <v>912</v>
      </c>
      <c r="R68" s="69" t="str">
        <f aca="false">IF(ISNUMBER(SEARCH("D+C",$Q68)),"D+C",IF(OR($Q68="D",ISNUMBER(SEARCH("D par éditeur",$Q68))),"D",IF(OR($Q68="P",ISNUMBER(SEARCH("P recherche",$Q68))),"P",IF($Q68="A","A",IF(ISNUMBER(SEARCH("PNO",$Q68)),"PNO","")))))</f>
        <v>PNO</v>
      </c>
      <c r="S68" s="152" t="str">
        <f aca="false">IF(OR(ISNUMBER(SEARCH("Annexe III 4",$P68)),ISNUMBER(SEARCH("Annexe III 5",$P68))),"Oui","Non")</f>
        <v>Non</v>
      </c>
      <c r="T68" s="154" t="s">
        <v>950</v>
      </c>
      <c r="U68" s="154" t="s">
        <v>914</v>
      </c>
      <c r="V68" s="155"/>
    </row>
    <row r="69" customFormat="false" ht="75.35" hidden="false" customHeight="false" outlineLevel="0" collapsed="false">
      <c r="A69" s="151" t="s">
        <v>1264</v>
      </c>
      <c r="B69" s="69" t="s">
        <v>1341</v>
      </c>
      <c r="C69" s="152" t="s">
        <v>905</v>
      </c>
      <c r="D69" s="68" t="s">
        <v>1342</v>
      </c>
      <c r="E69" s="68" t="s">
        <v>1343</v>
      </c>
      <c r="F69" s="152" t="s">
        <v>876</v>
      </c>
      <c r="G69" s="152" t="s">
        <v>876</v>
      </c>
      <c r="H69" s="68" t="s">
        <v>1344</v>
      </c>
      <c r="I69" s="152" t="s">
        <v>878</v>
      </c>
      <c r="J69" s="152" t="s">
        <v>878</v>
      </c>
      <c r="K69" s="153" t="n">
        <f aca="false">IFERROR(INDEX($AB$6:$AB$12,MATCH($I69,$AA$6:$AA$12,0)),"")</f>
        <v>2</v>
      </c>
      <c r="L69" s="153" t="n">
        <f aca="false">IFERROR(INDEX($AB$6:$AB$12,MATCH($J69,$AA$6:$AA$12,0)),"")</f>
        <v>2</v>
      </c>
      <c r="M69" s="67" t="n">
        <f aca="false">IF(OR($K69="",$L69=""),"",$L69-$K69)</f>
        <v>0</v>
      </c>
      <c r="N69" s="152" t="s">
        <v>879</v>
      </c>
      <c r="O69" s="32" t="n">
        <f aca="false">IFERROR(VALUE(LEFT($N69,1)),"")</f>
        <v>2</v>
      </c>
      <c r="P69" s="154" t="s">
        <v>1345</v>
      </c>
      <c r="Q69" s="69" t="s">
        <v>959</v>
      </c>
      <c r="R69" s="69" t="str">
        <f aca="false">IF(ISNUMBER(SEARCH("D+C",$Q69)),"D+C",IF(OR($Q69="D",ISNUMBER(SEARCH("D par éditeur",$Q69))),"D",IF(OR($Q69="P",ISNUMBER(SEARCH("P recherche",$Q69))),"P",IF($Q69="A","A",IF(ISNUMBER(SEARCH("PNO",$Q69)),"PNO","")))))</f>
        <v>D</v>
      </c>
      <c r="S69" s="152" t="str">
        <f aca="false">IF(OR(ISNUMBER(SEARCH("Annexe III 4",$P69)),ISNUMBER(SEARCH("Annexe III 5",$P69))),"Oui","Non")</f>
        <v>Non</v>
      </c>
      <c r="T69" s="154" t="s">
        <v>1346</v>
      </c>
      <c r="U69" s="154" t="s">
        <v>1011</v>
      </c>
      <c r="V69" s="155" t="s">
        <v>1012</v>
      </c>
    </row>
    <row r="70" customFormat="false" ht="19.4" hidden="false" customHeight="false" outlineLevel="0" collapsed="false">
      <c r="A70" s="151" t="s">
        <v>1264</v>
      </c>
      <c r="B70" s="69" t="s">
        <v>1347</v>
      </c>
      <c r="C70" s="152" t="s">
        <v>905</v>
      </c>
      <c r="D70" s="68" t="s">
        <v>1348</v>
      </c>
      <c r="E70" s="68" t="s">
        <v>1349</v>
      </c>
      <c r="F70" s="152" t="s">
        <v>1195</v>
      </c>
      <c r="G70" s="152" t="s">
        <v>51</v>
      </c>
      <c r="H70" s="68" t="s">
        <v>1350</v>
      </c>
      <c r="I70" s="152" t="s">
        <v>878</v>
      </c>
      <c r="J70" s="152" t="s">
        <v>864</v>
      </c>
      <c r="K70" s="153" t="n">
        <f aca="false">IFERROR(INDEX($AB$6:$AB$12,MATCH($I70,$AA$6:$AA$12,0)),"")</f>
        <v>2</v>
      </c>
      <c r="L70" s="153" t="n">
        <f aca="false">IFERROR(INDEX($AB$6:$AB$12,MATCH($J70,$AA$6:$AA$12,0)),"")</f>
        <v>3</v>
      </c>
      <c r="M70" s="67" t="n">
        <f aca="false">IF(OR($K70="",$L70=""),"",$L70-$K70)</f>
        <v>1</v>
      </c>
      <c r="N70" s="152" t="s">
        <v>910</v>
      </c>
      <c r="O70" s="32" t="n">
        <f aca="false">IFERROR(VALUE(LEFT($N70,1)),"")</f>
        <v>3</v>
      </c>
      <c r="P70" s="154" t="s">
        <v>1351</v>
      </c>
      <c r="Q70" s="69" t="s">
        <v>912</v>
      </c>
      <c r="R70" s="69" t="str">
        <f aca="false">IF(ISNUMBER(SEARCH("D+C",$Q70)),"D+C",IF(OR($Q70="D",ISNUMBER(SEARCH("D par éditeur",$Q70))),"D",IF(OR($Q70="P",ISNUMBER(SEARCH("P recherche",$Q70))),"P",IF($Q70="A","A",IF(ISNUMBER(SEARCH("PNO",$Q70)),"PNO","")))))</f>
        <v>PNO</v>
      </c>
      <c r="S70" s="152" t="str">
        <f aca="false">IF(OR(ISNUMBER(SEARCH("Annexe III 4",$P70)),ISNUMBER(SEARCH("Annexe III 5",$P70))),"Oui","Non")</f>
        <v>Non</v>
      </c>
      <c r="T70" s="154" t="s">
        <v>950</v>
      </c>
      <c r="U70" s="154" t="s">
        <v>914</v>
      </c>
      <c r="V70" s="155"/>
    </row>
    <row r="71" customFormat="false" ht="19.4" hidden="false" customHeight="false" outlineLevel="0" collapsed="false">
      <c r="A71" s="151" t="s">
        <v>1264</v>
      </c>
      <c r="B71" s="69" t="s">
        <v>1352</v>
      </c>
      <c r="C71" s="152" t="s">
        <v>905</v>
      </c>
      <c r="D71" s="68" t="s">
        <v>1353</v>
      </c>
      <c r="E71" s="68" t="s">
        <v>1354</v>
      </c>
      <c r="F71" s="152" t="s">
        <v>888</v>
      </c>
      <c r="G71" s="152" t="s">
        <v>1022</v>
      </c>
      <c r="H71" s="68" t="s">
        <v>1355</v>
      </c>
      <c r="I71" s="152" t="s">
        <v>878</v>
      </c>
      <c r="J71" s="152" t="s">
        <v>864</v>
      </c>
      <c r="K71" s="153" t="n">
        <f aca="false">IFERROR(INDEX($AB$6:$AB$12,MATCH($I71,$AA$6:$AA$12,0)),"")</f>
        <v>2</v>
      </c>
      <c r="L71" s="153" t="n">
        <f aca="false">IFERROR(INDEX($AB$6:$AB$12,MATCH($J71,$AA$6:$AA$12,0)),"")</f>
        <v>3</v>
      </c>
      <c r="M71" s="67" t="n">
        <f aca="false">IF(OR($K71="",$L71=""),"",$L71-$K71)</f>
        <v>1</v>
      </c>
      <c r="N71" s="152" t="s">
        <v>910</v>
      </c>
      <c r="O71" s="32" t="n">
        <f aca="false">IFERROR(VALUE(LEFT($N71,1)),"")</f>
        <v>3</v>
      </c>
      <c r="P71" s="154" t="s">
        <v>1356</v>
      </c>
      <c r="Q71" s="69" t="s">
        <v>912</v>
      </c>
      <c r="R71" s="69" t="str">
        <f aca="false">IF(ISNUMBER(SEARCH("D+C",$Q71)),"D+C",IF(OR($Q71="D",ISNUMBER(SEARCH("D par éditeur",$Q71))),"D",IF(OR($Q71="P",ISNUMBER(SEARCH("P recherche",$Q71))),"P",IF($Q71="A","A",IF(ISNUMBER(SEARCH("PNO",$Q71)),"PNO","")))))</f>
        <v>PNO</v>
      </c>
      <c r="S71" s="152" t="str">
        <f aca="false">IF(OR(ISNUMBER(SEARCH("Annexe III 4",$P71)),ISNUMBER(SEARCH("Annexe III 5",$P71))),"Oui","Non")</f>
        <v>Non</v>
      </c>
      <c r="T71" s="154" t="s">
        <v>1357</v>
      </c>
      <c r="U71" s="154" t="s">
        <v>914</v>
      </c>
      <c r="V71" s="155"/>
    </row>
    <row r="72" customFormat="false" ht="19.4" hidden="false" customHeight="false" outlineLevel="0" collapsed="false">
      <c r="A72" s="151" t="s">
        <v>1264</v>
      </c>
      <c r="B72" s="69" t="s">
        <v>1358</v>
      </c>
      <c r="C72" s="152" t="s">
        <v>905</v>
      </c>
      <c r="D72" s="68" t="s">
        <v>1359</v>
      </c>
      <c r="E72" s="68" t="s">
        <v>1360</v>
      </c>
      <c r="F72" s="152" t="s">
        <v>888</v>
      </c>
      <c r="G72" s="152" t="s">
        <v>51</v>
      </c>
      <c r="H72" s="68" t="s">
        <v>1361</v>
      </c>
      <c r="I72" s="152" t="s">
        <v>878</v>
      </c>
      <c r="J72" s="152" t="s">
        <v>864</v>
      </c>
      <c r="K72" s="153" t="n">
        <f aca="false">IFERROR(INDEX($AB$6:$AB$12,MATCH($I72,$AA$6:$AA$12,0)),"")</f>
        <v>2</v>
      </c>
      <c r="L72" s="153" t="n">
        <f aca="false">IFERROR(INDEX($AB$6:$AB$12,MATCH($J72,$AA$6:$AA$12,0)),"")</f>
        <v>3</v>
      </c>
      <c r="M72" s="67" t="n">
        <f aca="false">IF(OR($K72="",$L72=""),"",$L72-$K72)</f>
        <v>1</v>
      </c>
      <c r="N72" s="152" t="s">
        <v>910</v>
      </c>
      <c r="O72" s="32" t="n">
        <f aca="false">IFERROR(VALUE(LEFT($N72,1)),"")</f>
        <v>3</v>
      </c>
      <c r="P72" s="154" t="s">
        <v>1362</v>
      </c>
      <c r="Q72" s="69" t="s">
        <v>912</v>
      </c>
      <c r="R72" s="69" t="str">
        <f aca="false">IF(ISNUMBER(SEARCH("D+C",$Q72)),"D+C",IF(OR($Q72="D",ISNUMBER(SEARCH("D par éditeur",$Q72))),"D",IF(OR($Q72="P",ISNUMBER(SEARCH("P recherche",$Q72))),"P",IF($Q72="A","A",IF(ISNUMBER(SEARCH("PNO",$Q72)),"PNO","")))))</f>
        <v>PNO</v>
      </c>
      <c r="S72" s="152" t="str">
        <f aca="false">IF(OR(ISNUMBER(SEARCH("Annexe III 4",$P72)),ISNUMBER(SEARCH("Annexe III 5",$P72))),"Oui","Non")</f>
        <v>Non</v>
      </c>
      <c r="T72" s="154" t="s">
        <v>1363</v>
      </c>
      <c r="U72" s="154" t="s">
        <v>914</v>
      </c>
      <c r="V72" s="155"/>
    </row>
    <row r="73" customFormat="false" ht="19.4" hidden="false" customHeight="false" outlineLevel="0" collapsed="false">
      <c r="A73" s="151" t="s">
        <v>1264</v>
      </c>
      <c r="B73" s="69" t="s">
        <v>1364</v>
      </c>
      <c r="C73" s="152" t="s">
        <v>905</v>
      </c>
      <c r="D73" s="68" t="s">
        <v>1365</v>
      </c>
      <c r="E73" s="68" t="s">
        <v>1366</v>
      </c>
      <c r="F73" s="152" t="s">
        <v>888</v>
      </c>
      <c r="G73" s="152" t="s">
        <v>51</v>
      </c>
      <c r="H73" s="68" t="s">
        <v>1367</v>
      </c>
      <c r="I73" s="152" t="s">
        <v>903</v>
      </c>
      <c r="J73" s="152" t="s">
        <v>878</v>
      </c>
      <c r="K73" s="153" t="n">
        <f aca="false">IFERROR(INDEX($AB$6:$AB$12,MATCH($I73,$AA$6:$AA$12,0)),"")</f>
        <v>1</v>
      </c>
      <c r="L73" s="153" t="n">
        <f aca="false">IFERROR(INDEX($AB$6:$AB$12,MATCH($J73,$AA$6:$AA$12,0)),"")</f>
        <v>2</v>
      </c>
      <c r="M73" s="67" t="n">
        <f aca="false">IF(OR($K73="",$L73=""),"",$L73-$K73)</f>
        <v>1</v>
      </c>
      <c r="N73" s="152" t="s">
        <v>879</v>
      </c>
      <c r="O73" s="32" t="n">
        <f aca="false">IFERROR(VALUE(LEFT($N73,1)),"")</f>
        <v>2</v>
      </c>
      <c r="P73" s="154" t="s">
        <v>1368</v>
      </c>
      <c r="Q73" s="69" t="s">
        <v>912</v>
      </c>
      <c r="R73" s="69" t="str">
        <f aca="false">IF(ISNUMBER(SEARCH("D+C",$Q73)),"D+C",IF(OR($Q73="D",ISNUMBER(SEARCH("D par éditeur",$Q73))),"D",IF(OR($Q73="P",ISNUMBER(SEARCH("P recherche",$Q73))),"P",IF($Q73="A","A",IF(ISNUMBER(SEARCH("PNO",$Q73)),"PNO","")))))</f>
        <v>PNO</v>
      </c>
      <c r="S73" s="152" t="str">
        <f aca="false">IF(OR(ISNUMBER(SEARCH("Annexe III 4",$P73)),ISNUMBER(SEARCH("Annexe III 5",$P73))),"Oui","Non")</f>
        <v>Non</v>
      </c>
      <c r="T73" s="154" t="s">
        <v>950</v>
      </c>
      <c r="U73" s="154" t="s">
        <v>914</v>
      </c>
      <c r="V73" s="155"/>
    </row>
    <row r="74" customFormat="false" ht="50.7" hidden="false" customHeight="false" outlineLevel="0" collapsed="false">
      <c r="A74" s="151" t="s">
        <v>384</v>
      </c>
      <c r="B74" s="69" t="s">
        <v>1369</v>
      </c>
      <c r="C74" s="152" t="s">
        <v>860</v>
      </c>
      <c r="D74" s="68" t="s">
        <v>1370</v>
      </c>
      <c r="E74" s="68" t="s">
        <v>1371</v>
      </c>
      <c r="F74" s="152" t="s">
        <v>862</v>
      </c>
      <c r="G74" s="152" t="s">
        <v>1372</v>
      </c>
      <c r="H74" s="68" t="s">
        <v>1373</v>
      </c>
      <c r="I74" s="152" t="s">
        <v>864</v>
      </c>
      <c r="J74" s="152" t="s">
        <v>865</v>
      </c>
      <c r="K74" s="153" t="n">
        <f aca="false">IFERROR(INDEX($AB$6:$AB$12,MATCH($I74,$AA$6:$AA$12,0)),"")</f>
        <v>3</v>
      </c>
      <c r="L74" s="153" t="n">
        <f aca="false">IFERROR(INDEX($AB$6:$AB$12,MATCH($J74,$AA$6:$AA$12,0)),"")</f>
        <v>4</v>
      </c>
      <c r="M74" s="67" t="n">
        <f aca="false">IF(OR($K74="",$L74=""),"",$L74-$K74)</f>
        <v>1</v>
      </c>
      <c r="N74" s="152" t="s">
        <v>866</v>
      </c>
      <c r="O74" s="32" t="n">
        <f aca="false">IFERROR(VALUE(LEFT($N74,1)),"")</f>
        <v>4</v>
      </c>
      <c r="P74" s="154" t="s">
        <v>1374</v>
      </c>
      <c r="Q74" s="69" t="s">
        <v>868</v>
      </c>
      <c r="R74" s="69" t="str">
        <f aca="false">IF(ISNUMBER(SEARCH("D+C",$Q74)),"D+C",IF(OR($Q74="D",ISNUMBER(SEARCH("D par éditeur",$Q74))),"D",IF(OR($Q74="P",ISNUMBER(SEARCH("P recherche",$Q74))),"P",IF($Q74="A","A",IF(ISNUMBER(SEARCH("PNO",$Q74)),"PNO","")))))</f>
        <v>D+C</v>
      </c>
      <c r="S74" s="152" t="str">
        <f aca="false">IF(OR(ISNUMBER(SEARCH("Annexe III 4",$P74)),ISNUMBER(SEARCH("Annexe III 5",$P74))),"Oui","Non")</f>
        <v>Non</v>
      </c>
      <c r="T74" s="154" t="s">
        <v>1375</v>
      </c>
      <c r="U74" s="154" t="s">
        <v>1376</v>
      </c>
      <c r="V74" s="155" t="s">
        <v>1377</v>
      </c>
    </row>
    <row r="75" customFormat="false" ht="19.4" hidden="false" customHeight="false" outlineLevel="0" collapsed="false">
      <c r="A75" s="151" t="s">
        <v>384</v>
      </c>
      <c r="B75" s="69" t="s">
        <v>1378</v>
      </c>
      <c r="C75" s="152" t="s">
        <v>860</v>
      </c>
      <c r="D75" s="68" t="s">
        <v>1379</v>
      </c>
      <c r="E75" s="68" t="s">
        <v>1380</v>
      </c>
      <c r="F75" s="152" t="s">
        <v>876</v>
      </c>
      <c r="G75" s="152" t="s">
        <v>876</v>
      </c>
      <c r="H75" s="68" t="s">
        <v>1381</v>
      </c>
      <c r="I75" s="152" t="s">
        <v>864</v>
      </c>
      <c r="J75" s="152" t="s">
        <v>878</v>
      </c>
      <c r="K75" s="153" t="n">
        <f aca="false">IFERROR(INDEX($AB$6:$AB$12,MATCH($I75,$AA$6:$AA$12,0)),"")</f>
        <v>3</v>
      </c>
      <c r="L75" s="153" t="n">
        <f aca="false">IFERROR(INDEX($AB$6:$AB$12,MATCH($J75,$AA$6:$AA$12,0)),"")</f>
        <v>2</v>
      </c>
      <c r="M75" s="67" t="n">
        <f aca="false">IF(OR($K75="",$L75=""),"",$L75-$K75)</f>
        <v>-1</v>
      </c>
      <c r="N75" s="152" t="s">
        <v>921</v>
      </c>
      <c r="O75" s="32" t="n">
        <f aca="false">IFERROR(VALUE(LEFT($N75,1)),"")</f>
        <v>5</v>
      </c>
      <c r="P75" s="154" t="s">
        <v>1382</v>
      </c>
      <c r="Q75" s="69" t="s">
        <v>912</v>
      </c>
      <c r="R75" s="69" t="str">
        <f aca="false">IF(ISNUMBER(SEARCH("D+C",$Q75)),"D+C",IF(OR($Q75="D",ISNUMBER(SEARCH("D par éditeur",$Q75))),"D",IF(OR($Q75="P",ISNUMBER(SEARCH("P recherche",$Q75))),"P",IF($Q75="A","A",IF(ISNUMBER(SEARCH("PNO",$Q75)),"PNO","")))))</f>
        <v>PNO</v>
      </c>
      <c r="S75" s="152" t="str">
        <f aca="false">IF(OR(ISNUMBER(SEARCH("Annexe III 4",$P75)),ISNUMBER(SEARCH("Annexe III 5",$P75))),"Oui","Non")</f>
        <v>Oui</v>
      </c>
      <c r="T75" s="154" t="s">
        <v>1383</v>
      </c>
      <c r="U75" s="154" t="s">
        <v>1384</v>
      </c>
      <c r="V75" s="155"/>
    </row>
    <row r="76" customFormat="false" ht="26.1" hidden="false" customHeight="false" outlineLevel="0" collapsed="false">
      <c r="A76" s="151" t="s">
        <v>384</v>
      </c>
      <c r="B76" s="69" t="s">
        <v>1385</v>
      </c>
      <c r="C76" s="152" t="s">
        <v>860</v>
      </c>
      <c r="D76" s="68" t="s">
        <v>1386</v>
      </c>
      <c r="E76" s="68" t="s">
        <v>1387</v>
      </c>
      <c r="F76" s="152" t="s">
        <v>1195</v>
      </c>
      <c r="G76" s="152" t="s">
        <v>1195</v>
      </c>
      <c r="H76" s="68" t="s">
        <v>1388</v>
      </c>
      <c r="I76" s="152" t="s">
        <v>864</v>
      </c>
      <c r="J76" s="152" t="s">
        <v>865</v>
      </c>
      <c r="K76" s="153" t="n">
        <f aca="false">IFERROR(INDEX($AB$6:$AB$12,MATCH($I76,$AA$6:$AA$12,0)),"")</f>
        <v>3</v>
      </c>
      <c r="L76" s="153" t="n">
        <f aca="false">IFERROR(INDEX($AB$6:$AB$12,MATCH($J76,$AA$6:$AA$12,0)),"")</f>
        <v>4</v>
      </c>
      <c r="M76" s="67" t="n">
        <f aca="false">IF(OR($K76="",$L76=""),"",$L76-$K76)</f>
        <v>1</v>
      </c>
      <c r="N76" s="152" t="s">
        <v>910</v>
      </c>
      <c r="O76" s="32" t="n">
        <f aca="false">IFERROR(VALUE(LEFT($N76,1)),"")</f>
        <v>3</v>
      </c>
      <c r="P76" s="154" t="s">
        <v>1389</v>
      </c>
      <c r="Q76" s="69" t="s">
        <v>868</v>
      </c>
      <c r="R76" s="69" t="str">
        <f aca="false">IF(ISNUMBER(SEARCH("D+C",$Q76)),"D+C",IF(OR($Q76="D",ISNUMBER(SEARCH("D par éditeur",$Q76))),"D",IF(OR($Q76="P",ISNUMBER(SEARCH("P recherche",$Q76))),"P",IF($Q76="A","A",IF(ISNUMBER(SEARCH("PNO",$Q76)),"PNO","")))))</f>
        <v>D+C</v>
      </c>
      <c r="S76" s="152" t="str">
        <f aca="false">IF(OR(ISNUMBER(SEARCH("Annexe III 4",$P76)),ISNUMBER(SEARCH("Annexe III 5",$P76))),"Oui","Non")</f>
        <v>Non</v>
      </c>
      <c r="T76" s="154" t="s">
        <v>1390</v>
      </c>
      <c r="U76" s="154" t="s">
        <v>1391</v>
      </c>
      <c r="V76" s="155" t="s">
        <v>1392</v>
      </c>
    </row>
    <row r="77" customFormat="false" ht="67.15" hidden="false" customHeight="false" outlineLevel="0" collapsed="false">
      <c r="A77" s="151" t="s">
        <v>384</v>
      </c>
      <c r="B77" s="69" t="s">
        <v>383</v>
      </c>
      <c r="C77" s="152" t="s">
        <v>860</v>
      </c>
      <c r="D77" s="68" t="s">
        <v>382</v>
      </c>
      <c r="E77" s="68" t="s">
        <v>1393</v>
      </c>
      <c r="F77" s="152" t="s">
        <v>1394</v>
      </c>
      <c r="G77" s="152" t="s">
        <v>862</v>
      </c>
      <c r="H77" s="68" t="s">
        <v>1395</v>
      </c>
      <c r="I77" s="152" t="s">
        <v>878</v>
      </c>
      <c r="J77" s="152" t="s">
        <v>865</v>
      </c>
      <c r="K77" s="153" t="n">
        <f aca="false">IFERROR(INDEX($AB$6:$AB$12,MATCH($I77,$AA$6:$AA$12,0)),"")</f>
        <v>2</v>
      </c>
      <c r="L77" s="153" t="n">
        <f aca="false">IFERROR(INDEX($AB$6:$AB$12,MATCH($J77,$AA$6:$AA$12,0)),"")</f>
        <v>4</v>
      </c>
      <c r="M77" s="67" t="n">
        <f aca="false">IF(OR($K77="",$L77=""),"",$L77-$K77)</f>
        <v>2</v>
      </c>
      <c r="N77" s="152" t="s">
        <v>866</v>
      </c>
      <c r="O77" s="32" t="n">
        <f aca="false">IFERROR(VALUE(LEFT($N77,1)),"")</f>
        <v>4</v>
      </c>
      <c r="P77" s="154" t="s">
        <v>1396</v>
      </c>
      <c r="Q77" s="69" t="s">
        <v>959</v>
      </c>
      <c r="R77" s="69" t="str">
        <f aca="false">IF(ISNUMBER(SEARCH("D+C",$Q77)),"D+C",IF(OR($Q77="D",ISNUMBER(SEARCH("D par éditeur",$Q77))),"D",IF(OR($Q77="P",ISNUMBER(SEARCH("P recherche",$Q77))),"P",IF($Q77="A","A",IF(ISNUMBER(SEARCH("PNO",$Q77)),"PNO","")))))</f>
        <v>D</v>
      </c>
      <c r="S77" s="152" t="str">
        <f aca="false">IF(OR(ISNUMBER(SEARCH("Annexe III 4",$P77)),ISNUMBER(SEARCH("Annexe III 5",$P77))),"Oui","Non")</f>
        <v>Non</v>
      </c>
      <c r="T77" s="154" t="s">
        <v>1397</v>
      </c>
      <c r="U77" s="154" t="s">
        <v>1398</v>
      </c>
      <c r="V77" s="155" t="s">
        <v>1399</v>
      </c>
    </row>
    <row r="78" customFormat="false" ht="34.3" hidden="false" customHeight="false" outlineLevel="0" collapsed="false">
      <c r="A78" s="151" t="s">
        <v>384</v>
      </c>
      <c r="B78" s="69" t="s">
        <v>1400</v>
      </c>
      <c r="C78" s="152" t="s">
        <v>905</v>
      </c>
      <c r="D78" s="68" t="s">
        <v>1401</v>
      </c>
      <c r="E78" s="68" t="s">
        <v>1402</v>
      </c>
      <c r="F78" s="152" t="s">
        <v>876</v>
      </c>
      <c r="G78" s="152" t="s">
        <v>51</v>
      </c>
      <c r="H78" s="68" t="s">
        <v>1403</v>
      </c>
      <c r="I78" s="152" t="s">
        <v>903</v>
      </c>
      <c r="J78" s="152" t="s">
        <v>878</v>
      </c>
      <c r="K78" s="153" t="n">
        <f aca="false">IFERROR(INDEX($AB$6:$AB$12,MATCH($I78,$AA$6:$AA$12,0)),"")</f>
        <v>1</v>
      </c>
      <c r="L78" s="153" t="n">
        <f aca="false">IFERROR(INDEX($AB$6:$AB$12,MATCH($J78,$AA$6:$AA$12,0)),"")</f>
        <v>2</v>
      </c>
      <c r="M78" s="67" t="n">
        <f aca="false">IF(OR($K78="",$L78=""),"",$L78-$K78)</f>
        <v>1</v>
      </c>
      <c r="N78" s="152" t="s">
        <v>921</v>
      </c>
      <c r="O78" s="32" t="n">
        <f aca="false">IFERROR(VALUE(LEFT($N78,1)),"")</f>
        <v>5</v>
      </c>
      <c r="P78" s="154" t="s">
        <v>1404</v>
      </c>
      <c r="Q78" s="69" t="s">
        <v>912</v>
      </c>
      <c r="R78" s="69" t="str">
        <f aca="false">IF(ISNUMBER(SEARCH("D+C",$Q78)),"D+C",IF(OR($Q78="D",ISNUMBER(SEARCH("D par éditeur",$Q78))),"D",IF(OR($Q78="P",ISNUMBER(SEARCH("P recherche",$Q78))),"P",IF($Q78="A","A",IF(ISNUMBER(SEARCH("PNO",$Q78)),"PNO","")))))</f>
        <v>PNO</v>
      </c>
      <c r="S78" s="152" t="str">
        <f aca="false">IF(OR(ISNUMBER(SEARCH("Annexe III 4",$P78)),ISNUMBER(SEARCH("Annexe III 5",$P78))),"Oui","Non")</f>
        <v>Non</v>
      </c>
      <c r="T78" s="154" t="s">
        <v>1405</v>
      </c>
      <c r="U78" s="154" t="s">
        <v>1406</v>
      </c>
      <c r="V78" s="155" t="s">
        <v>1407</v>
      </c>
    </row>
    <row r="79" customFormat="false" ht="19.4" hidden="false" customHeight="false" outlineLevel="0" collapsed="false">
      <c r="A79" s="151" t="s">
        <v>384</v>
      </c>
      <c r="B79" s="69" t="s">
        <v>1408</v>
      </c>
      <c r="C79" s="152" t="s">
        <v>860</v>
      </c>
      <c r="D79" s="68" t="s">
        <v>1409</v>
      </c>
      <c r="E79" s="68" t="s">
        <v>1410</v>
      </c>
      <c r="F79" s="152" t="s">
        <v>888</v>
      </c>
      <c r="G79" s="152" t="s">
        <v>888</v>
      </c>
      <c r="H79" s="68" t="s">
        <v>1411</v>
      </c>
      <c r="I79" s="152" t="s">
        <v>878</v>
      </c>
      <c r="J79" s="152" t="s">
        <v>864</v>
      </c>
      <c r="K79" s="153" t="n">
        <f aca="false">IFERROR(INDEX($AB$6:$AB$12,MATCH($I79,$AA$6:$AA$12,0)),"")</f>
        <v>2</v>
      </c>
      <c r="L79" s="153" t="n">
        <f aca="false">IFERROR(INDEX($AB$6:$AB$12,MATCH($J79,$AA$6:$AA$12,0)),"")</f>
        <v>3</v>
      </c>
      <c r="M79" s="67" t="n">
        <f aca="false">IF(OR($K79="",$L79=""),"",$L79-$K79)</f>
        <v>1</v>
      </c>
      <c r="N79" s="152" t="s">
        <v>910</v>
      </c>
      <c r="O79" s="32" t="n">
        <f aca="false">IFERROR(VALUE(LEFT($N79,1)),"")</f>
        <v>3</v>
      </c>
      <c r="P79" s="154" t="s">
        <v>1412</v>
      </c>
      <c r="Q79" s="69" t="s">
        <v>959</v>
      </c>
      <c r="R79" s="69" t="str">
        <f aca="false">IF(ISNUMBER(SEARCH("D+C",$Q79)),"D+C",IF(OR($Q79="D",ISNUMBER(SEARCH("D par éditeur",$Q79))),"D",IF(OR($Q79="P",ISNUMBER(SEARCH("P recherche",$Q79))),"P",IF($Q79="A","A",IF(ISNUMBER(SEARCH("PNO",$Q79)),"PNO","")))))</f>
        <v>D</v>
      </c>
      <c r="S79" s="152" t="str">
        <f aca="false">IF(OR(ISNUMBER(SEARCH("Annexe III 4",$P79)),ISNUMBER(SEARCH("Annexe III 5",$P79))),"Oui","Non")</f>
        <v>Non</v>
      </c>
      <c r="T79" s="154" t="s">
        <v>1413</v>
      </c>
      <c r="U79" s="154" t="s">
        <v>1414</v>
      </c>
      <c r="V79" s="155"/>
    </row>
    <row r="80" customFormat="false" ht="19.4" hidden="false" customHeight="false" outlineLevel="0" collapsed="false">
      <c r="A80" s="151" t="s">
        <v>384</v>
      </c>
      <c r="B80" s="69" t="s">
        <v>1415</v>
      </c>
      <c r="C80" s="152" t="s">
        <v>860</v>
      </c>
      <c r="D80" s="68" t="s">
        <v>1416</v>
      </c>
      <c r="E80" s="68" t="s">
        <v>1417</v>
      </c>
      <c r="F80" s="152" t="s">
        <v>862</v>
      </c>
      <c r="G80" s="152" t="s">
        <v>1418</v>
      </c>
      <c r="H80" s="68" t="s">
        <v>1419</v>
      </c>
      <c r="I80" s="152" t="s">
        <v>878</v>
      </c>
      <c r="J80" s="152" t="s">
        <v>864</v>
      </c>
      <c r="K80" s="153" t="n">
        <f aca="false">IFERROR(INDEX($AB$6:$AB$12,MATCH($I80,$AA$6:$AA$12,0)),"")</f>
        <v>2</v>
      </c>
      <c r="L80" s="153" t="n">
        <f aca="false">IFERROR(INDEX($AB$6:$AB$12,MATCH($J80,$AA$6:$AA$12,0)),"")</f>
        <v>3</v>
      </c>
      <c r="M80" s="67" t="n">
        <f aca="false">IF(OR($K80="",$L80=""),"",$L80-$K80)</f>
        <v>1</v>
      </c>
      <c r="N80" s="152" t="s">
        <v>1420</v>
      </c>
      <c r="O80" s="32" t="n">
        <f aca="false">IFERROR(VALUE(LEFT($N80,1)),"")</f>
        <v>2</v>
      </c>
      <c r="P80" s="154" t="s">
        <v>1421</v>
      </c>
      <c r="Q80" s="69" t="s">
        <v>959</v>
      </c>
      <c r="R80" s="69" t="str">
        <f aca="false">IF(ISNUMBER(SEARCH("D+C",$Q80)),"D+C",IF(OR($Q80="D",ISNUMBER(SEARCH("D par éditeur",$Q80))),"D",IF(OR($Q80="P",ISNUMBER(SEARCH("P recherche",$Q80))),"P",IF($Q80="A","A",IF(ISNUMBER(SEARCH("PNO",$Q80)),"PNO","")))))</f>
        <v>D</v>
      </c>
      <c r="S80" s="152" t="str">
        <f aca="false">IF(OR(ISNUMBER(SEARCH("Annexe III 4",$P80)),ISNUMBER(SEARCH("Annexe III 5",$P80))),"Oui","Non")</f>
        <v>Non</v>
      </c>
      <c r="T80" s="154" t="s">
        <v>1422</v>
      </c>
      <c r="U80" s="154" t="s">
        <v>1423</v>
      </c>
      <c r="V80" s="155"/>
    </row>
    <row r="81" customFormat="false" ht="58.95" hidden="false" customHeight="false" outlineLevel="0" collapsed="false">
      <c r="A81" s="151" t="s">
        <v>384</v>
      </c>
      <c r="B81" s="69" t="s">
        <v>1424</v>
      </c>
      <c r="C81" s="152" t="s">
        <v>860</v>
      </c>
      <c r="D81" s="68" t="s">
        <v>1425</v>
      </c>
      <c r="E81" s="68" t="s">
        <v>1426</v>
      </c>
      <c r="F81" s="152" t="s">
        <v>888</v>
      </c>
      <c r="G81" s="152" t="s">
        <v>1427</v>
      </c>
      <c r="H81" s="68" t="s">
        <v>1428</v>
      </c>
      <c r="I81" s="152" t="s">
        <v>878</v>
      </c>
      <c r="J81" s="152" t="s">
        <v>864</v>
      </c>
      <c r="K81" s="153" t="n">
        <f aca="false">IFERROR(INDEX($AB$6:$AB$12,MATCH($I81,$AA$6:$AA$12,0)),"")</f>
        <v>2</v>
      </c>
      <c r="L81" s="153" t="n">
        <f aca="false">IFERROR(INDEX($AB$6:$AB$12,MATCH($J81,$AA$6:$AA$12,0)),"")</f>
        <v>3</v>
      </c>
      <c r="M81" s="67" t="n">
        <f aca="false">IF(OR($K81="",$L81=""),"",$L81-$K81)</f>
        <v>1</v>
      </c>
      <c r="N81" s="152" t="s">
        <v>921</v>
      </c>
      <c r="O81" s="32" t="n">
        <f aca="false">IFERROR(VALUE(LEFT($N81,1)),"")</f>
        <v>5</v>
      </c>
      <c r="P81" s="154" t="s">
        <v>1429</v>
      </c>
      <c r="Q81" s="69" t="s">
        <v>912</v>
      </c>
      <c r="R81" s="69" t="str">
        <f aca="false">IF(ISNUMBER(SEARCH("D+C",$Q81)),"D+C",IF(OR($Q81="D",ISNUMBER(SEARCH("D par éditeur",$Q81))),"D",IF(OR($Q81="P",ISNUMBER(SEARCH("P recherche",$Q81))),"P",IF($Q81="A","A",IF(ISNUMBER(SEARCH("PNO",$Q81)),"PNO","")))))</f>
        <v>PNO</v>
      </c>
      <c r="S81" s="152" t="str">
        <f aca="false">IF(OR(ISNUMBER(SEARCH("Annexe III 4",$P81)),ISNUMBER(SEARCH("Annexe III 5",$P81))),"Oui","Non")</f>
        <v>Non</v>
      </c>
      <c r="T81" s="154" t="s">
        <v>1430</v>
      </c>
      <c r="U81" s="154" t="s">
        <v>1431</v>
      </c>
      <c r="V81" s="155" t="s">
        <v>1432</v>
      </c>
    </row>
    <row r="82" customFormat="false" ht="19.4" hidden="false" customHeight="false" outlineLevel="0" collapsed="false">
      <c r="A82" s="151" t="s">
        <v>384</v>
      </c>
      <c r="B82" s="69" t="s">
        <v>1433</v>
      </c>
      <c r="C82" s="152" t="s">
        <v>905</v>
      </c>
      <c r="D82" s="68" t="s">
        <v>1434</v>
      </c>
      <c r="E82" s="68" t="s">
        <v>1435</v>
      </c>
      <c r="F82" s="152" t="s">
        <v>888</v>
      </c>
      <c r="G82" s="152" t="s">
        <v>51</v>
      </c>
      <c r="H82" s="68" t="s">
        <v>1436</v>
      </c>
      <c r="I82" s="152" t="s">
        <v>878</v>
      </c>
      <c r="J82" s="152" t="s">
        <v>864</v>
      </c>
      <c r="K82" s="153" t="n">
        <f aca="false">IFERROR(INDEX($AB$6:$AB$12,MATCH($I82,$AA$6:$AA$12,0)),"")</f>
        <v>2</v>
      </c>
      <c r="L82" s="153" t="n">
        <f aca="false">IFERROR(INDEX($AB$6:$AB$12,MATCH($J82,$AA$6:$AA$12,0)),"")</f>
        <v>3</v>
      </c>
      <c r="M82" s="67" t="n">
        <f aca="false">IF(OR($K82="",$L82=""),"",$L82-$K82)</f>
        <v>1</v>
      </c>
      <c r="N82" s="152" t="s">
        <v>866</v>
      </c>
      <c r="O82" s="32" t="n">
        <f aca="false">IFERROR(VALUE(LEFT($N82,1)),"")</f>
        <v>4</v>
      </c>
      <c r="P82" s="154" t="s">
        <v>1437</v>
      </c>
      <c r="Q82" s="69" t="s">
        <v>912</v>
      </c>
      <c r="R82" s="69" t="str">
        <f aca="false">IF(ISNUMBER(SEARCH("D+C",$Q82)),"D+C",IF(OR($Q82="D",ISNUMBER(SEARCH("D par éditeur",$Q82))),"D",IF(OR($Q82="P",ISNUMBER(SEARCH("P recherche",$Q82))),"P",IF($Q82="A","A",IF(ISNUMBER(SEARCH("PNO",$Q82)),"PNO","")))))</f>
        <v>PNO</v>
      </c>
      <c r="S82" s="152" t="str">
        <f aca="false">IF(OR(ISNUMBER(SEARCH("Annexe III 4",$P82)),ISNUMBER(SEARCH("Annexe III 5",$P82))),"Oui","Non")</f>
        <v>Non</v>
      </c>
      <c r="T82" s="154" t="s">
        <v>1438</v>
      </c>
      <c r="U82" s="154" t="s">
        <v>914</v>
      </c>
      <c r="V82" s="155"/>
    </row>
    <row r="83" customFormat="false" ht="15" hidden="false" customHeight="false" outlineLevel="0" collapsed="false">
      <c r="A83" s="151" t="s">
        <v>384</v>
      </c>
      <c r="B83" s="69" t="s">
        <v>1439</v>
      </c>
      <c r="C83" s="152" t="s">
        <v>905</v>
      </c>
      <c r="D83" s="68" t="s">
        <v>1440</v>
      </c>
      <c r="E83" s="68" t="s">
        <v>1441</v>
      </c>
      <c r="F83" s="152" t="s">
        <v>862</v>
      </c>
      <c r="G83" s="152" t="s">
        <v>1442</v>
      </c>
      <c r="H83" s="68" t="s">
        <v>1443</v>
      </c>
      <c r="I83" s="152" t="s">
        <v>864</v>
      </c>
      <c r="J83" s="152" t="s">
        <v>865</v>
      </c>
      <c r="K83" s="153" t="n">
        <f aca="false">IFERROR(INDEX($AB$6:$AB$12,MATCH($I83,$AA$6:$AA$12,0)),"")</f>
        <v>3</v>
      </c>
      <c r="L83" s="153" t="n">
        <f aca="false">IFERROR(INDEX($AB$6:$AB$12,MATCH($J83,$AA$6:$AA$12,0)),"")</f>
        <v>4</v>
      </c>
      <c r="M83" s="67" t="n">
        <f aca="false">IF(OR($K83="",$L83=""),"",$L83-$K83)</f>
        <v>1</v>
      </c>
      <c r="N83" s="152" t="s">
        <v>866</v>
      </c>
      <c r="O83" s="32" t="n">
        <f aca="false">IFERROR(VALUE(LEFT($N83,1)),"")</f>
        <v>4</v>
      </c>
      <c r="P83" s="154" t="s">
        <v>1052</v>
      </c>
      <c r="Q83" s="69" t="s">
        <v>868</v>
      </c>
      <c r="R83" s="69" t="str">
        <f aca="false">IF(ISNUMBER(SEARCH("D+C",$Q83)),"D+C",IF(OR($Q83="D",ISNUMBER(SEARCH("D par éditeur",$Q83))),"D",IF(OR($Q83="P",ISNUMBER(SEARCH("P recherche",$Q83))),"P",IF($Q83="A","A",IF(ISNUMBER(SEARCH("PNO",$Q83)),"PNO","")))))</f>
        <v>D+C</v>
      </c>
      <c r="S83" s="152" t="str">
        <f aca="false">IF(OR(ISNUMBER(SEARCH("Annexe III 4",$P83)),ISNUMBER(SEARCH("Annexe III 5",$P83))),"Oui","Non")</f>
        <v>Non</v>
      </c>
      <c r="T83" s="154" t="s">
        <v>1444</v>
      </c>
      <c r="U83" s="154" t="s">
        <v>1445</v>
      </c>
      <c r="V83" s="155"/>
    </row>
    <row r="84" customFormat="false" ht="15" hidden="false" customHeight="false" outlineLevel="0" collapsed="false">
      <c r="A84" s="151" t="s">
        <v>384</v>
      </c>
      <c r="B84" s="69" t="s">
        <v>1446</v>
      </c>
      <c r="C84" s="152" t="s">
        <v>905</v>
      </c>
      <c r="D84" s="68" t="s">
        <v>1447</v>
      </c>
      <c r="E84" s="68" t="s">
        <v>1448</v>
      </c>
      <c r="F84" s="152" t="s">
        <v>1195</v>
      </c>
      <c r="G84" s="152" t="s">
        <v>1022</v>
      </c>
      <c r="H84" s="68" t="s">
        <v>1449</v>
      </c>
      <c r="I84" s="152" t="s">
        <v>878</v>
      </c>
      <c r="J84" s="152" t="s">
        <v>864</v>
      </c>
      <c r="K84" s="153" t="n">
        <f aca="false">IFERROR(INDEX($AB$6:$AB$12,MATCH($I84,$AA$6:$AA$12,0)),"")</f>
        <v>2</v>
      </c>
      <c r="L84" s="153" t="n">
        <f aca="false">IFERROR(INDEX($AB$6:$AB$12,MATCH($J84,$AA$6:$AA$12,0)),"")</f>
        <v>3</v>
      </c>
      <c r="M84" s="67" t="n">
        <f aca="false">IF(OR($K84="",$L84=""),"",$L84-$K84)</f>
        <v>1</v>
      </c>
      <c r="N84" s="152" t="s">
        <v>910</v>
      </c>
      <c r="O84" s="32" t="n">
        <f aca="false">IFERROR(VALUE(LEFT($N84,1)),"")</f>
        <v>3</v>
      </c>
      <c r="P84" s="154" t="s">
        <v>1450</v>
      </c>
      <c r="Q84" s="69" t="s">
        <v>912</v>
      </c>
      <c r="R84" s="69" t="str">
        <f aca="false">IF(ISNUMBER(SEARCH("D+C",$Q84)),"D+C",IF(OR($Q84="D",ISNUMBER(SEARCH("D par éditeur",$Q84))),"D",IF(OR($Q84="P",ISNUMBER(SEARCH("P recherche",$Q84))),"P",IF($Q84="A","A",IF(ISNUMBER(SEARCH("PNO",$Q84)),"PNO","")))))</f>
        <v>PNO</v>
      </c>
      <c r="S84" s="152" t="str">
        <f aca="false">IF(OR(ISNUMBER(SEARCH("Annexe III 4",$P84)),ISNUMBER(SEARCH("Annexe III 5",$P84))),"Oui","Non")</f>
        <v>Non</v>
      </c>
      <c r="T84" s="154" t="s">
        <v>950</v>
      </c>
      <c r="U84" s="154" t="s">
        <v>914</v>
      </c>
      <c r="V84" s="155"/>
    </row>
    <row r="85" customFormat="false" ht="75.35" hidden="false" customHeight="false" outlineLevel="0" collapsed="false">
      <c r="A85" s="151" t="s">
        <v>384</v>
      </c>
      <c r="B85" s="69" t="s">
        <v>1451</v>
      </c>
      <c r="C85" s="152" t="s">
        <v>905</v>
      </c>
      <c r="D85" s="68" t="s">
        <v>1452</v>
      </c>
      <c r="E85" s="68" t="s">
        <v>1453</v>
      </c>
      <c r="F85" s="152" t="s">
        <v>888</v>
      </c>
      <c r="G85" s="152" t="s">
        <v>1454</v>
      </c>
      <c r="H85" s="68" t="s">
        <v>1455</v>
      </c>
      <c r="I85" s="152" t="s">
        <v>878</v>
      </c>
      <c r="J85" s="152" t="s">
        <v>864</v>
      </c>
      <c r="K85" s="153" t="n">
        <f aca="false">IFERROR(INDEX($AB$6:$AB$12,MATCH($I85,$AA$6:$AA$12,0)),"")</f>
        <v>2</v>
      </c>
      <c r="L85" s="153" t="n">
        <f aca="false">IFERROR(INDEX($AB$6:$AB$12,MATCH($J85,$AA$6:$AA$12,0)),"")</f>
        <v>3</v>
      </c>
      <c r="M85" s="67" t="n">
        <f aca="false">IF(OR($K85="",$L85=""),"",$L85-$K85)</f>
        <v>1</v>
      </c>
      <c r="N85" s="152" t="s">
        <v>910</v>
      </c>
      <c r="O85" s="32" t="n">
        <f aca="false">IFERROR(VALUE(LEFT($N85,1)),"")</f>
        <v>3</v>
      </c>
      <c r="P85" s="154" t="s">
        <v>1456</v>
      </c>
      <c r="Q85" s="69" t="s">
        <v>912</v>
      </c>
      <c r="R85" s="69" t="str">
        <f aca="false">IF(ISNUMBER(SEARCH("D+C",$Q85)),"D+C",IF(OR($Q85="D",ISNUMBER(SEARCH("D par éditeur",$Q85))),"D",IF(OR($Q85="P",ISNUMBER(SEARCH("P recherche",$Q85))),"P",IF($Q85="A","A",IF(ISNUMBER(SEARCH("PNO",$Q85)),"PNO","")))))</f>
        <v>PNO</v>
      </c>
      <c r="S85" s="152" t="str">
        <f aca="false">IF(OR(ISNUMBER(SEARCH("Annexe III 4",$P85)),ISNUMBER(SEARCH("Annexe III 5",$P85))),"Oui","Non")</f>
        <v>Non</v>
      </c>
      <c r="T85" s="154" t="s">
        <v>1457</v>
      </c>
      <c r="U85" s="154" t="s">
        <v>1458</v>
      </c>
      <c r="V85" s="155" t="s">
        <v>1459</v>
      </c>
    </row>
    <row r="86" customFormat="false" ht="15" hidden="false" customHeight="false" outlineLevel="0" collapsed="false">
      <c r="A86" s="151" t="s">
        <v>384</v>
      </c>
      <c r="B86" s="69" t="s">
        <v>1460</v>
      </c>
      <c r="C86" s="152" t="s">
        <v>905</v>
      </c>
      <c r="D86" s="68" t="s">
        <v>1461</v>
      </c>
      <c r="E86" s="68" t="s">
        <v>1462</v>
      </c>
      <c r="F86" s="152" t="s">
        <v>888</v>
      </c>
      <c r="G86" s="152" t="s">
        <v>51</v>
      </c>
      <c r="H86" s="68" t="s">
        <v>1463</v>
      </c>
      <c r="I86" s="152" t="s">
        <v>878</v>
      </c>
      <c r="J86" s="152" t="s">
        <v>878</v>
      </c>
      <c r="K86" s="153" t="n">
        <f aca="false">IFERROR(INDEX($AB$6:$AB$12,MATCH($I86,$AA$6:$AA$12,0)),"")</f>
        <v>2</v>
      </c>
      <c r="L86" s="153" t="n">
        <f aca="false">IFERROR(INDEX($AB$6:$AB$12,MATCH($J86,$AA$6:$AA$12,0)),"")</f>
        <v>2</v>
      </c>
      <c r="M86" s="67" t="n">
        <f aca="false">IF(OR($K86="",$L86=""),"",$L86-$K86)</f>
        <v>0</v>
      </c>
      <c r="N86" s="152" t="s">
        <v>866</v>
      </c>
      <c r="O86" s="32" t="n">
        <f aca="false">IFERROR(VALUE(LEFT($N86,1)),"")</f>
        <v>4</v>
      </c>
      <c r="P86" s="154" t="s">
        <v>1464</v>
      </c>
      <c r="Q86" s="69" t="s">
        <v>912</v>
      </c>
      <c r="R86" s="69" t="str">
        <f aca="false">IF(ISNUMBER(SEARCH("D+C",$Q86)),"D+C",IF(OR($Q86="D",ISNUMBER(SEARCH("D par éditeur",$Q86))),"D",IF(OR($Q86="P",ISNUMBER(SEARCH("P recherche",$Q86))),"P",IF($Q86="A","A",IF(ISNUMBER(SEARCH("PNO",$Q86)),"PNO","")))))</f>
        <v>PNO</v>
      </c>
      <c r="S86" s="152" t="str">
        <f aca="false">IF(OR(ISNUMBER(SEARCH("Annexe III 4",$P86)),ISNUMBER(SEARCH("Annexe III 5",$P86))),"Oui","Non")</f>
        <v>Non</v>
      </c>
      <c r="T86" s="154" t="s">
        <v>950</v>
      </c>
      <c r="U86" s="154" t="s">
        <v>914</v>
      </c>
      <c r="V86" s="155"/>
    </row>
    <row r="87" customFormat="false" ht="19.4" hidden="false" customHeight="false" outlineLevel="0" collapsed="false">
      <c r="A87" s="151" t="s">
        <v>384</v>
      </c>
      <c r="B87" s="69" t="s">
        <v>1465</v>
      </c>
      <c r="C87" s="152" t="s">
        <v>905</v>
      </c>
      <c r="D87" s="68" t="s">
        <v>1466</v>
      </c>
      <c r="E87" s="68" t="s">
        <v>1467</v>
      </c>
      <c r="F87" s="152" t="s">
        <v>888</v>
      </c>
      <c r="G87" s="152" t="s">
        <v>51</v>
      </c>
      <c r="H87" s="68" t="s">
        <v>1468</v>
      </c>
      <c r="I87" s="152" t="s">
        <v>878</v>
      </c>
      <c r="J87" s="152" t="s">
        <v>878</v>
      </c>
      <c r="K87" s="153" t="n">
        <f aca="false">IFERROR(INDEX($AB$6:$AB$12,MATCH($I87,$AA$6:$AA$12,0)),"")</f>
        <v>2</v>
      </c>
      <c r="L87" s="153" t="n">
        <f aca="false">IFERROR(INDEX($AB$6:$AB$12,MATCH($J87,$AA$6:$AA$12,0)),"")</f>
        <v>2</v>
      </c>
      <c r="M87" s="67" t="n">
        <f aca="false">IF(OR($K87="",$L87=""),"",$L87-$K87)</f>
        <v>0</v>
      </c>
      <c r="N87" s="152" t="s">
        <v>866</v>
      </c>
      <c r="O87" s="32" t="n">
        <f aca="false">IFERROR(VALUE(LEFT($N87,1)),"")</f>
        <v>4</v>
      </c>
      <c r="P87" s="154" t="s">
        <v>1469</v>
      </c>
      <c r="Q87" s="69" t="s">
        <v>912</v>
      </c>
      <c r="R87" s="69" t="str">
        <f aca="false">IF(ISNUMBER(SEARCH("D+C",$Q87)),"D+C",IF(OR($Q87="D",ISNUMBER(SEARCH("D par éditeur",$Q87))),"D",IF(OR($Q87="P",ISNUMBER(SEARCH("P recherche",$Q87))),"P",IF($Q87="A","A",IF(ISNUMBER(SEARCH("PNO",$Q87)),"PNO","")))))</f>
        <v>PNO</v>
      </c>
      <c r="S87" s="152" t="str">
        <f aca="false">IF(OR(ISNUMBER(SEARCH("Annexe III 4",$P87)),ISNUMBER(SEARCH("Annexe III 5",$P87))),"Oui","Non")</f>
        <v>Oui</v>
      </c>
      <c r="T87" s="154" t="s">
        <v>950</v>
      </c>
      <c r="U87" s="154" t="s">
        <v>914</v>
      </c>
      <c r="V87" s="155"/>
    </row>
    <row r="88" customFormat="false" ht="67.15" hidden="false" customHeight="false" outlineLevel="0" collapsed="false">
      <c r="A88" s="151" t="s">
        <v>384</v>
      </c>
      <c r="B88" s="69" t="s">
        <v>1470</v>
      </c>
      <c r="C88" s="152" t="s">
        <v>905</v>
      </c>
      <c r="D88" s="68" t="s">
        <v>1471</v>
      </c>
      <c r="E88" s="68" t="s">
        <v>1472</v>
      </c>
      <c r="F88" s="152" t="s">
        <v>1473</v>
      </c>
      <c r="G88" s="152" t="s">
        <v>1474</v>
      </c>
      <c r="H88" s="68" t="s">
        <v>1475</v>
      </c>
      <c r="I88" s="152" t="s">
        <v>864</v>
      </c>
      <c r="J88" s="152" t="s">
        <v>865</v>
      </c>
      <c r="K88" s="153" t="n">
        <f aca="false">IFERROR(INDEX($AB$6:$AB$12,MATCH($I88,$AA$6:$AA$12,0)),"")</f>
        <v>3</v>
      </c>
      <c r="L88" s="153" t="n">
        <f aca="false">IFERROR(INDEX($AB$6:$AB$12,MATCH($J88,$AA$6:$AA$12,0)),"")</f>
        <v>4</v>
      </c>
      <c r="M88" s="67" t="n">
        <f aca="false">IF(OR($K88="",$L88=""),"",$L88-$K88)</f>
        <v>1</v>
      </c>
      <c r="N88" s="152" t="s">
        <v>921</v>
      </c>
      <c r="O88" s="32" t="n">
        <f aca="false">IFERROR(VALUE(LEFT($N88,1)),"")</f>
        <v>5</v>
      </c>
      <c r="P88" s="154" t="s">
        <v>1476</v>
      </c>
      <c r="Q88" s="69" t="s">
        <v>912</v>
      </c>
      <c r="R88" s="69" t="str">
        <f aca="false">IF(ISNUMBER(SEARCH("D+C",$Q88)),"D+C",IF(OR($Q88="D",ISNUMBER(SEARCH("D par éditeur",$Q88))),"D",IF(OR($Q88="P",ISNUMBER(SEARCH("P recherche",$Q88))),"P",IF($Q88="A","A",IF(ISNUMBER(SEARCH("PNO",$Q88)),"PNO","")))))</f>
        <v>PNO</v>
      </c>
      <c r="S88" s="152" t="str">
        <f aca="false">IF(OR(ISNUMBER(SEARCH("Annexe III 4",$P88)),ISNUMBER(SEARCH("Annexe III 5",$P88))),"Oui","Non")</f>
        <v>Non</v>
      </c>
      <c r="T88" s="154" t="s">
        <v>1477</v>
      </c>
      <c r="U88" s="154" t="s">
        <v>1478</v>
      </c>
      <c r="V88" s="155" t="s">
        <v>1479</v>
      </c>
    </row>
    <row r="89" customFormat="false" ht="19.4" hidden="false" customHeight="false" outlineLevel="0" collapsed="false">
      <c r="A89" s="151" t="s">
        <v>384</v>
      </c>
      <c r="B89" s="69" t="s">
        <v>1480</v>
      </c>
      <c r="C89" s="152" t="s">
        <v>905</v>
      </c>
      <c r="D89" s="68" t="s">
        <v>1481</v>
      </c>
      <c r="E89" s="68" t="s">
        <v>1482</v>
      </c>
      <c r="F89" s="152" t="s">
        <v>888</v>
      </c>
      <c r="G89" s="152" t="s">
        <v>51</v>
      </c>
      <c r="H89" s="68" t="s">
        <v>1483</v>
      </c>
      <c r="I89" s="152" t="s">
        <v>878</v>
      </c>
      <c r="J89" s="152" t="s">
        <v>864</v>
      </c>
      <c r="K89" s="153" t="n">
        <f aca="false">IFERROR(INDEX($AB$6:$AB$12,MATCH($I89,$AA$6:$AA$12,0)),"")</f>
        <v>2</v>
      </c>
      <c r="L89" s="153" t="n">
        <f aca="false">IFERROR(INDEX($AB$6:$AB$12,MATCH($J89,$AA$6:$AA$12,0)),"")</f>
        <v>3</v>
      </c>
      <c r="M89" s="67" t="n">
        <f aca="false">IF(OR($K89="",$L89=""),"",$L89-$K89)</f>
        <v>1</v>
      </c>
      <c r="N89" s="152" t="s">
        <v>910</v>
      </c>
      <c r="O89" s="32" t="n">
        <f aca="false">IFERROR(VALUE(LEFT($N89,1)),"")</f>
        <v>3</v>
      </c>
      <c r="P89" s="154" t="s">
        <v>1484</v>
      </c>
      <c r="Q89" s="69" t="s">
        <v>912</v>
      </c>
      <c r="R89" s="69" t="str">
        <f aca="false">IF(ISNUMBER(SEARCH("D+C",$Q89)),"D+C",IF(OR($Q89="D",ISNUMBER(SEARCH("D par éditeur",$Q89))),"D",IF(OR($Q89="P",ISNUMBER(SEARCH("P recherche",$Q89))),"P",IF($Q89="A","A",IF(ISNUMBER(SEARCH("PNO",$Q89)),"PNO","")))))</f>
        <v>PNO</v>
      </c>
      <c r="S89" s="152" t="str">
        <f aca="false">IF(OR(ISNUMBER(SEARCH("Annexe III 4",$P89)),ISNUMBER(SEARCH("Annexe III 5",$P89))),"Oui","Non")</f>
        <v>Oui</v>
      </c>
      <c r="T89" s="154" t="s">
        <v>950</v>
      </c>
      <c r="U89" s="154" t="s">
        <v>914</v>
      </c>
      <c r="V89" s="155"/>
    </row>
    <row r="90" customFormat="false" ht="34.3" hidden="false" customHeight="false" outlineLevel="0" collapsed="false">
      <c r="A90" s="151" t="s">
        <v>384</v>
      </c>
      <c r="B90" s="69" t="s">
        <v>1485</v>
      </c>
      <c r="C90" s="152" t="s">
        <v>905</v>
      </c>
      <c r="D90" s="68" t="s">
        <v>1486</v>
      </c>
      <c r="E90" s="68" t="s">
        <v>1487</v>
      </c>
      <c r="F90" s="152" t="s">
        <v>888</v>
      </c>
      <c r="G90" s="152" t="s">
        <v>1488</v>
      </c>
      <c r="H90" s="68" t="s">
        <v>1489</v>
      </c>
      <c r="I90" s="152" t="s">
        <v>864</v>
      </c>
      <c r="J90" s="152" t="s">
        <v>864</v>
      </c>
      <c r="K90" s="153" t="n">
        <f aca="false">IFERROR(INDEX($AB$6:$AB$12,MATCH($I90,$AA$6:$AA$12,0)),"")</f>
        <v>3</v>
      </c>
      <c r="L90" s="153" t="n">
        <f aca="false">IFERROR(INDEX($AB$6:$AB$12,MATCH($J90,$AA$6:$AA$12,0)),"")</f>
        <v>3</v>
      </c>
      <c r="M90" s="67" t="n">
        <f aca="false">IF(OR($K90="",$L90=""),"",$L90-$K90)</f>
        <v>0</v>
      </c>
      <c r="N90" s="152" t="s">
        <v>921</v>
      </c>
      <c r="O90" s="32" t="n">
        <f aca="false">IFERROR(VALUE(LEFT($N90,1)),"")</f>
        <v>5</v>
      </c>
      <c r="P90" s="154" t="s">
        <v>1490</v>
      </c>
      <c r="Q90" s="69" t="s">
        <v>959</v>
      </c>
      <c r="R90" s="69" t="str">
        <f aca="false">IF(ISNUMBER(SEARCH("D+C",$Q90)),"D+C",IF(OR($Q90="D",ISNUMBER(SEARCH("D par éditeur",$Q90))),"D",IF(OR($Q90="P",ISNUMBER(SEARCH("P recherche",$Q90))),"P",IF($Q90="A","A",IF(ISNUMBER(SEARCH("PNO",$Q90)),"PNO","")))))</f>
        <v>D</v>
      </c>
      <c r="S90" s="152" t="str">
        <f aca="false">IF(OR(ISNUMBER(SEARCH("Annexe III 4",$P90)),ISNUMBER(SEARCH("Annexe III 5",$P90))),"Oui","Non")</f>
        <v>Oui</v>
      </c>
      <c r="T90" s="154" t="s">
        <v>1491</v>
      </c>
      <c r="U90" s="154" t="s">
        <v>1406</v>
      </c>
      <c r="V90" s="155" t="s">
        <v>1407</v>
      </c>
    </row>
    <row r="91" customFormat="false" ht="34.3" hidden="false" customHeight="false" outlineLevel="0" collapsed="false">
      <c r="A91" s="151" t="s">
        <v>384</v>
      </c>
      <c r="B91" s="69" t="s">
        <v>1492</v>
      </c>
      <c r="C91" s="152" t="s">
        <v>905</v>
      </c>
      <c r="D91" s="68" t="s">
        <v>1493</v>
      </c>
      <c r="E91" s="68" t="s">
        <v>1494</v>
      </c>
      <c r="F91" s="152" t="s">
        <v>862</v>
      </c>
      <c r="G91" s="152" t="s">
        <v>862</v>
      </c>
      <c r="H91" s="68" t="s">
        <v>1495</v>
      </c>
      <c r="I91" s="152" t="s">
        <v>878</v>
      </c>
      <c r="J91" s="152" t="s">
        <v>864</v>
      </c>
      <c r="K91" s="153" t="n">
        <f aca="false">IFERROR(INDEX($AB$6:$AB$12,MATCH($I91,$AA$6:$AA$12,0)),"")</f>
        <v>2</v>
      </c>
      <c r="L91" s="153" t="n">
        <f aca="false">IFERROR(INDEX($AB$6:$AB$12,MATCH($J91,$AA$6:$AA$12,0)),"")</f>
        <v>3</v>
      </c>
      <c r="M91" s="67" t="n">
        <f aca="false">IF(OR($K91="",$L91=""),"",$L91-$K91)</f>
        <v>1</v>
      </c>
      <c r="N91" s="152" t="s">
        <v>879</v>
      </c>
      <c r="O91" s="32" t="n">
        <f aca="false">IFERROR(VALUE(LEFT($N91,1)),"")</f>
        <v>2</v>
      </c>
      <c r="P91" s="154" t="s">
        <v>1052</v>
      </c>
      <c r="Q91" s="69" t="s">
        <v>959</v>
      </c>
      <c r="R91" s="69" t="str">
        <f aca="false">IF(ISNUMBER(SEARCH("D+C",$Q91)),"D+C",IF(OR($Q91="D",ISNUMBER(SEARCH("D par éditeur",$Q91))),"D",IF(OR($Q91="P",ISNUMBER(SEARCH("P recherche",$Q91))),"P",IF($Q91="A","A",IF(ISNUMBER(SEARCH("PNO",$Q91)),"PNO","")))))</f>
        <v>D</v>
      </c>
      <c r="S91" s="152" t="str">
        <f aca="false">IF(OR(ISNUMBER(SEARCH("Annexe III 4",$P91)),ISNUMBER(SEARCH("Annexe III 5",$P91))),"Oui","Non")</f>
        <v>Non</v>
      </c>
      <c r="T91" s="154" t="s">
        <v>1496</v>
      </c>
      <c r="U91" s="154" t="s">
        <v>1497</v>
      </c>
      <c r="V91" s="155" t="s">
        <v>1407</v>
      </c>
    </row>
    <row r="92" customFormat="false" ht="58.95" hidden="false" customHeight="false" outlineLevel="0" collapsed="false">
      <c r="A92" s="151" t="s">
        <v>384</v>
      </c>
      <c r="B92" s="69" t="s">
        <v>1498</v>
      </c>
      <c r="C92" s="152" t="s">
        <v>905</v>
      </c>
      <c r="D92" s="68" t="s">
        <v>1499</v>
      </c>
      <c r="E92" s="68" t="s">
        <v>1500</v>
      </c>
      <c r="F92" s="152" t="s">
        <v>888</v>
      </c>
      <c r="G92" s="152" t="s">
        <v>888</v>
      </c>
      <c r="H92" s="68" t="s">
        <v>1501</v>
      </c>
      <c r="I92" s="152" t="s">
        <v>878</v>
      </c>
      <c r="J92" s="152" t="s">
        <v>864</v>
      </c>
      <c r="K92" s="153" t="n">
        <f aca="false">IFERROR(INDEX($AB$6:$AB$12,MATCH($I92,$AA$6:$AA$12,0)),"")</f>
        <v>2</v>
      </c>
      <c r="L92" s="153" t="n">
        <f aca="false">IFERROR(INDEX($AB$6:$AB$12,MATCH($J92,$AA$6:$AA$12,0)),"")</f>
        <v>3</v>
      </c>
      <c r="M92" s="67" t="n">
        <f aca="false">IF(OR($K92="",$L92=""),"",$L92-$K92)</f>
        <v>1</v>
      </c>
      <c r="N92" s="152" t="s">
        <v>910</v>
      </c>
      <c r="O92" s="32" t="n">
        <f aca="false">IFERROR(VALUE(LEFT($N92,1)),"")</f>
        <v>3</v>
      </c>
      <c r="P92" s="154" t="s">
        <v>1502</v>
      </c>
      <c r="Q92" s="69" t="s">
        <v>959</v>
      </c>
      <c r="R92" s="69" t="str">
        <f aca="false">IF(ISNUMBER(SEARCH("D+C",$Q92)),"D+C",IF(OR($Q92="D",ISNUMBER(SEARCH("D par éditeur",$Q92))),"D",IF(OR($Q92="P",ISNUMBER(SEARCH("P recherche",$Q92))),"P",IF($Q92="A","A",IF(ISNUMBER(SEARCH("PNO",$Q92)),"PNO","")))))</f>
        <v>D</v>
      </c>
      <c r="S92" s="152" t="str">
        <f aca="false">IF(OR(ISNUMBER(SEARCH("Annexe III 4",$P92)),ISNUMBER(SEARCH("Annexe III 5",$P92))),"Oui","Non")</f>
        <v>Non</v>
      </c>
      <c r="T92" s="154" t="s">
        <v>1503</v>
      </c>
      <c r="U92" s="154" t="s">
        <v>1504</v>
      </c>
      <c r="V92" s="155" t="s">
        <v>1505</v>
      </c>
    </row>
    <row r="93" customFormat="false" ht="58.95" hidden="false" customHeight="false" outlineLevel="0" collapsed="false">
      <c r="A93" s="151" t="s">
        <v>384</v>
      </c>
      <c r="B93" s="69" t="s">
        <v>1506</v>
      </c>
      <c r="C93" s="152" t="s">
        <v>905</v>
      </c>
      <c r="D93" s="68" t="s">
        <v>1507</v>
      </c>
      <c r="E93" s="68" t="s">
        <v>1508</v>
      </c>
      <c r="F93" s="152" t="s">
        <v>1509</v>
      </c>
      <c r="G93" s="152" t="s">
        <v>888</v>
      </c>
      <c r="H93" s="68" t="s">
        <v>1510</v>
      </c>
      <c r="I93" s="152" t="s">
        <v>864</v>
      </c>
      <c r="J93" s="152" t="s">
        <v>864</v>
      </c>
      <c r="K93" s="153" t="n">
        <f aca="false">IFERROR(INDEX($AB$6:$AB$12,MATCH($I93,$AA$6:$AA$12,0)),"")</f>
        <v>3</v>
      </c>
      <c r="L93" s="153" t="n">
        <f aca="false">IFERROR(INDEX($AB$6:$AB$12,MATCH($J93,$AA$6:$AA$12,0)),"")</f>
        <v>3</v>
      </c>
      <c r="M93" s="67" t="n">
        <f aca="false">IF(OR($K93="",$L93=""),"",$L93-$K93)</f>
        <v>0</v>
      </c>
      <c r="N93" s="152" t="s">
        <v>910</v>
      </c>
      <c r="O93" s="32" t="n">
        <f aca="false">IFERROR(VALUE(LEFT($N93,1)),"")</f>
        <v>3</v>
      </c>
      <c r="P93" s="154" t="s">
        <v>1511</v>
      </c>
      <c r="Q93" s="69" t="s">
        <v>959</v>
      </c>
      <c r="R93" s="69" t="str">
        <f aca="false">IF(ISNUMBER(SEARCH("D+C",$Q93)),"D+C",IF(OR($Q93="D",ISNUMBER(SEARCH("D par éditeur",$Q93))),"D",IF(OR($Q93="P",ISNUMBER(SEARCH("P recherche",$Q93))),"P",IF($Q93="A","A",IF(ISNUMBER(SEARCH("PNO",$Q93)),"PNO","")))))</f>
        <v>D</v>
      </c>
      <c r="S93" s="152" t="str">
        <f aca="false">IF(OR(ISNUMBER(SEARCH("Annexe III 4",$P93)),ISNUMBER(SEARCH("Annexe III 5",$P93))),"Oui","Non")</f>
        <v>Oui</v>
      </c>
      <c r="T93" s="154" t="s">
        <v>1512</v>
      </c>
      <c r="U93" s="154" t="s">
        <v>1504</v>
      </c>
      <c r="V93" s="155" t="s">
        <v>1505</v>
      </c>
    </row>
    <row r="94" customFormat="false" ht="67.15" hidden="false" customHeight="false" outlineLevel="0" collapsed="false">
      <c r="A94" s="151" t="s">
        <v>1513</v>
      </c>
      <c r="B94" s="69" t="s">
        <v>1514</v>
      </c>
      <c r="C94" s="152" t="s">
        <v>860</v>
      </c>
      <c r="D94" s="68" t="s">
        <v>1515</v>
      </c>
      <c r="E94" s="68" t="s">
        <v>1516</v>
      </c>
      <c r="F94" s="152" t="s">
        <v>1517</v>
      </c>
      <c r="G94" s="152" t="s">
        <v>1518</v>
      </c>
      <c r="H94" s="68" t="s">
        <v>1519</v>
      </c>
      <c r="I94" s="152" t="s">
        <v>903</v>
      </c>
      <c r="J94" s="152" t="s">
        <v>864</v>
      </c>
      <c r="K94" s="153" t="n">
        <f aca="false">IFERROR(INDEX($AB$6:$AB$12,MATCH($I94,$AA$6:$AA$12,0)),"")</f>
        <v>1</v>
      </c>
      <c r="L94" s="153" t="n">
        <f aca="false">IFERROR(INDEX($AB$6:$AB$12,MATCH($J94,$AA$6:$AA$12,0)),"")</f>
        <v>3</v>
      </c>
      <c r="M94" s="67" t="n">
        <f aca="false">IF(OR($K94="",$L94=""),"",$L94-$K94)</f>
        <v>2</v>
      </c>
      <c r="N94" s="152" t="s">
        <v>921</v>
      </c>
      <c r="O94" s="32" t="n">
        <f aca="false">IFERROR(VALUE(LEFT($N94,1)),"")</f>
        <v>5</v>
      </c>
      <c r="P94" s="154" t="s">
        <v>1520</v>
      </c>
      <c r="Q94" s="69" t="s">
        <v>891</v>
      </c>
      <c r="R94" s="69" t="str">
        <f aca="false">IF(ISNUMBER(SEARCH("D+C",$Q94)),"D+C",IF(OR($Q94="D",ISNUMBER(SEARCH("D par éditeur",$Q94))),"D",IF(OR($Q94="P",ISNUMBER(SEARCH("P recherche",$Q94))),"P",IF($Q94="A","A",IF(ISNUMBER(SEARCH("PNO",$Q94)),"PNO","")))))</f>
        <v>P</v>
      </c>
      <c r="S94" s="152" t="str">
        <f aca="false">IF(OR(ISNUMBER(SEARCH("Annexe III 4",$P94)),ISNUMBER(SEARCH("Annexe III 5",$P94))),"Oui","Non")</f>
        <v>Non</v>
      </c>
      <c r="T94" s="154" t="s">
        <v>1521</v>
      </c>
      <c r="U94" s="154" t="s">
        <v>1522</v>
      </c>
      <c r="V94" s="155" t="s">
        <v>1523</v>
      </c>
    </row>
    <row r="95" customFormat="false" ht="50.7" hidden="false" customHeight="false" outlineLevel="0" collapsed="false">
      <c r="A95" s="151" t="s">
        <v>1513</v>
      </c>
      <c r="B95" s="69" t="s">
        <v>1524</v>
      </c>
      <c r="C95" s="152" t="s">
        <v>860</v>
      </c>
      <c r="D95" s="68" t="s">
        <v>1525</v>
      </c>
      <c r="E95" s="68" t="s">
        <v>1526</v>
      </c>
      <c r="F95" s="152" t="s">
        <v>862</v>
      </c>
      <c r="G95" s="152" t="s">
        <v>862</v>
      </c>
      <c r="H95" s="68" t="s">
        <v>1527</v>
      </c>
      <c r="I95" s="152" t="s">
        <v>903</v>
      </c>
      <c r="J95" s="152" t="s">
        <v>878</v>
      </c>
      <c r="K95" s="153" t="n">
        <f aca="false">IFERROR(INDEX($AB$6:$AB$12,MATCH($I95,$AA$6:$AA$12,0)),"")</f>
        <v>1</v>
      </c>
      <c r="L95" s="153" t="n">
        <f aca="false">IFERROR(INDEX($AB$6:$AB$12,MATCH($J95,$AA$6:$AA$12,0)),"")</f>
        <v>2</v>
      </c>
      <c r="M95" s="67" t="n">
        <f aca="false">IF(OR($K95="",$L95=""),"",$L95-$K95)</f>
        <v>1</v>
      </c>
      <c r="N95" s="152" t="s">
        <v>1528</v>
      </c>
      <c r="O95" s="32" t="n">
        <f aca="false">IFERROR(VALUE(LEFT($N95,1)),"")</f>
        <v>5</v>
      </c>
      <c r="P95" s="154" t="s">
        <v>1529</v>
      </c>
      <c r="Q95" s="69" t="s">
        <v>941</v>
      </c>
      <c r="R95" s="69" t="str">
        <f aca="false">IF(ISNUMBER(SEARCH("D+C",$Q95)),"D+C",IF(OR($Q95="D",ISNUMBER(SEARCH("D par éditeur",$Q95))),"D",IF(OR($Q95="P",ISNUMBER(SEARCH("P recherche",$Q95))),"P",IF($Q95="A","A",IF(ISNUMBER(SEARCH("PNO",$Q95)),"PNO","")))))</f>
        <v>A</v>
      </c>
      <c r="S95" s="152" t="str">
        <f aca="false">IF(OR(ISNUMBER(SEARCH("Annexe III 4",$P95)),ISNUMBER(SEARCH("Annexe III 5",$P95))),"Oui","Non")</f>
        <v>Non</v>
      </c>
      <c r="T95" s="154" t="s">
        <v>1530</v>
      </c>
      <c r="U95" s="154" t="s">
        <v>1531</v>
      </c>
      <c r="V95" s="155" t="s">
        <v>1532</v>
      </c>
    </row>
    <row r="96" customFormat="false" ht="50.7" hidden="false" customHeight="false" outlineLevel="0" collapsed="false">
      <c r="A96" s="151" t="s">
        <v>1513</v>
      </c>
      <c r="B96" s="69" t="s">
        <v>1533</v>
      </c>
      <c r="C96" s="152" t="s">
        <v>860</v>
      </c>
      <c r="D96" s="68" t="s">
        <v>1534</v>
      </c>
      <c r="E96" s="68" t="s">
        <v>1535</v>
      </c>
      <c r="F96" s="152" t="s">
        <v>862</v>
      </c>
      <c r="G96" s="152" t="s">
        <v>1536</v>
      </c>
      <c r="H96" s="68" t="s">
        <v>1537</v>
      </c>
      <c r="I96" s="152" t="s">
        <v>878</v>
      </c>
      <c r="J96" s="152" t="s">
        <v>878</v>
      </c>
      <c r="K96" s="153" t="n">
        <f aca="false">IFERROR(INDEX($AB$6:$AB$12,MATCH($I96,$AA$6:$AA$12,0)),"")</f>
        <v>2</v>
      </c>
      <c r="L96" s="153" t="n">
        <f aca="false">IFERROR(INDEX($AB$6:$AB$12,MATCH($J96,$AA$6:$AA$12,0)),"")</f>
        <v>2</v>
      </c>
      <c r="M96" s="67" t="n">
        <f aca="false">IF(OR($K96="",$L96=""),"",$L96-$K96)</f>
        <v>0</v>
      </c>
      <c r="N96" s="152" t="s">
        <v>866</v>
      </c>
      <c r="O96" s="32" t="n">
        <f aca="false">IFERROR(VALUE(LEFT($N96,1)),"")</f>
        <v>4</v>
      </c>
      <c r="P96" s="154" t="s">
        <v>1538</v>
      </c>
      <c r="Q96" s="69" t="s">
        <v>959</v>
      </c>
      <c r="R96" s="69" t="str">
        <f aca="false">IF(ISNUMBER(SEARCH("D+C",$Q96)),"D+C",IF(OR($Q96="D",ISNUMBER(SEARCH("D par éditeur",$Q96))),"D",IF(OR($Q96="P",ISNUMBER(SEARCH("P recherche",$Q96))),"P",IF($Q96="A","A",IF(ISNUMBER(SEARCH("PNO",$Q96)),"PNO","")))))</f>
        <v>D</v>
      </c>
      <c r="S96" s="152" t="str">
        <f aca="false">IF(OR(ISNUMBER(SEARCH("Annexe III 4",$P96)),ISNUMBER(SEARCH("Annexe III 5",$P96))),"Oui","Non")</f>
        <v>Non</v>
      </c>
      <c r="T96" s="154" t="s">
        <v>1539</v>
      </c>
      <c r="U96" s="154" t="s">
        <v>1540</v>
      </c>
      <c r="V96" s="155" t="s">
        <v>1541</v>
      </c>
    </row>
    <row r="97" customFormat="false" ht="15" hidden="false" customHeight="false" outlineLevel="0" collapsed="false">
      <c r="A97" s="151" t="s">
        <v>1513</v>
      </c>
      <c r="B97" s="69" t="s">
        <v>1542</v>
      </c>
      <c r="C97" s="152" t="s">
        <v>860</v>
      </c>
      <c r="D97" s="68" t="s">
        <v>1543</v>
      </c>
      <c r="E97" s="68" t="s">
        <v>1544</v>
      </c>
      <c r="F97" s="152" t="s">
        <v>862</v>
      </c>
      <c r="G97" s="152" t="s">
        <v>1022</v>
      </c>
      <c r="H97" s="68" t="s">
        <v>1228</v>
      </c>
      <c r="I97" s="152" t="s">
        <v>864</v>
      </c>
      <c r="J97" s="152" t="s">
        <v>864</v>
      </c>
      <c r="K97" s="153" t="n">
        <f aca="false">IFERROR(INDEX($AB$6:$AB$12,MATCH($I97,$AA$6:$AA$12,0)),"")</f>
        <v>3</v>
      </c>
      <c r="L97" s="153" t="n">
        <f aca="false">IFERROR(INDEX($AB$6:$AB$12,MATCH($J97,$AA$6:$AA$12,0)),"")</f>
        <v>3</v>
      </c>
      <c r="M97" s="67" t="n">
        <f aca="false">IF(OR($K97="",$L97=""),"",$L97-$K97)</f>
        <v>0</v>
      </c>
      <c r="N97" s="152" t="s">
        <v>879</v>
      </c>
      <c r="O97" s="32" t="n">
        <f aca="false">IFERROR(VALUE(LEFT($N97,1)),"")</f>
        <v>2</v>
      </c>
      <c r="P97" s="154" t="s">
        <v>1545</v>
      </c>
      <c r="Q97" s="69" t="s">
        <v>912</v>
      </c>
      <c r="R97" s="69" t="str">
        <f aca="false">IF(ISNUMBER(SEARCH("D+C",$Q97)),"D+C",IF(OR($Q97="D",ISNUMBER(SEARCH("D par éditeur",$Q97))),"D",IF(OR($Q97="P",ISNUMBER(SEARCH("P recherche",$Q97))),"P",IF($Q97="A","A",IF(ISNUMBER(SEARCH("PNO",$Q97)),"PNO","")))))</f>
        <v>PNO</v>
      </c>
      <c r="S97" s="152" t="str">
        <f aca="false">IF(OR(ISNUMBER(SEARCH("Annexe III 4",$P97)),ISNUMBER(SEARCH("Annexe III 5",$P97))),"Oui","Non")</f>
        <v>Non</v>
      </c>
      <c r="T97" s="154" t="s">
        <v>1124</v>
      </c>
      <c r="U97" s="154" t="s">
        <v>1546</v>
      </c>
      <c r="V97" s="155"/>
    </row>
    <row r="98" customFormat="false" ht="15" hidden="false" customHeight="false" outlineLevel="0" collapsed="false">
      <c r="A98" s="151" t="s">
        <v>1513</v>
      </c>
      <c r="B98" s="69" t="s">
        <v>1547</v>
      </c>
      <c r="C98" s="152" t="s">
        <v>860</v>
      </c>
      <c r="D98" s="68" t="s">
        <v>1548</v>
      </c>
      <c r="E98" s="68" t="s">
        <v>1549</v>
      </c>
      <c r="F98" s="152" t="s">
        <v>1150</v>
      </c>
      <c r="G98" s="152" t="s">
        <v>1151</v>
      </c>
      <c r="H98" s="68" t="s">
        <v>1550</v>
      </c>
      <c r="I98" s="152" t="s">
        <v>878</v>
      </c>
      <c r="J98" s="152" t="s">
        <v>864</v>
      </c>
      <c r="K98" s="153" t="n">
        <f aca="false">IFERROR(INDEX($AB$6:$AB$12,MATCH($I98,$AA$6:$AA$12,0)),"")</f>
        <v>2</v>
      </c>
      <c r="L98" s="153" t="n">
        <f aca="false">IFERROR(INDEX($AB$6:$AB$12,MATCH($J98,$AA$6:$AA$12,0)),"")</f>
        <v>3</v>
      </c>
      <c r="M98" s="67" t="n">
        <f aca="false">IF(OR($K98="",$L98=""),"",$L98-$K98)</f>
        <v>1</v>
      </c>
      <c r="N98" s="152" t="s">
        <v>866</v>
      </c>
      <c r="O98" s="32" t="n">
        <f aca="false">IFERROR(VALUE(LEFT($N98,1)),"")</f>
        <v>4</v>
      </c>
      <c r="P98" s="154" t="s">
        <v>1551</v>
      </c>
      <c r="Q98" s="69" t="s">
        <v>941</v>
      </c>
      <c r="R98" s="69" t="str">
        <f aca="false">IF(ISNUMBER(SEARCH("D+C",$Q98)),"D+C",IF(OR($Q98="D",ISNUMBER(SEARCH("D par éditeur",$Q98))),"D",IF(OR($Q98="P",ISNUMBER(SEARCH("P recherche",$Q98))),"P",IF($Q98="A","A",IF(ISNUMBER(SEARCH("PNO",$Q98)),"PNO","")))))</f>
        <v>A</v>
      </c>
      <c r="S98" s="152" t="str">
        <f aca="false">IF(OR(ISNUMBER(SEARCH("Annexe III 4",$P98)),ISNUMBER(SEARCH("Annexe III 5",$P98))),"Oui","Non")</f>
        <v>Non</v>
      </c>
      <c r="T98" s="154" t="s">
        <v>1552</v>
      </c>
      <c r="U98" s="154" t="s">
        <v>1553</v>
      </c>
      <c r="V98" s="155"/>
    </row>
    <row r="99" customFormat="false" ht="75.35" hidden="false" customHeight="false" outlineLevel="0" collapsed="false">
      <c r="A99" s="151" t="s">
        <v>1513</v>
      </c>
      <c r="B99" s="69" t="s">
        <v>387</v>
      </c>
      <c r="C99" s="152" t="s">
        <v>905</v>
      </c>
      <c r="D99" s="68" t="s">
        <v>386</v>
      </c>
      <c r="E99" s="68" t="s">
        <v>1554</v>
      </c>
      <c r="F99" s="152" t="s">
        <v>1195</v>
      </c>
      <c r="G99" s="152" t="s">
        <v>1555</v>
      </c>
      <c r="H99" s="68" t="s">
        <v>1556</v>
      </c>
      <c r="I99" s="152" t="s">
        <v>864</v>
      </c>
      <c r="J99" s="152" t="s">
        <v>865</v>
      </c>
      <c r="K99" s="153" t="n">
        <f aca="false">IFERROR(INDEX($AB$6:$AB$12,MATCH($I99,$AA$6:$AA$12,0)),"")</f>
        <v>3</v>
      </c>
      <c r="L99" s="153" t="n">
        <f aca="false">IFERROR(INDEX($AB$6:$AB$12,MATCH($J99,$AA$6:$AA$12,0)),"")</f>
        <v>4</v>
      </c>
      <c r="M99" s="67" t="n">
        <f aca="false">IF(OR($K99="",$L99=""),"",$L99-$K99)</f>
        <v>1</v>
      </c>
      <c r="N99" s="152" t="s">
        <v>910</v>
      </c>
      <c r="O99" s="32" t="n">
        <f aca="false">IFERROR(VALUE(LEFT($N99,1)),"")</f>
        <v>3</v>
      </c>
      <c r="P99" s="154" t="s">
        <v>1557</v>
      </c>
      <c r="Q99" s="69" t="s">
        <v>941</v>
      </c>
      <c r="R99" s="69" t="str">
        <f aca="false">IF(ISNUMBER(SEARCH("D+C",$Q99)),"D+C",IF(OR($Q99="D",ISNUMBER(SEARCH("D par éditeur",$Q99))),"D",IF(OR($Q99="P",ISNUMBER(SEARCH("P recherche",$Q99))),"P",IF($Q99="A","A",IF(ISNUMBER(SEARCH("PNO",$Q99)),"PNO","")))))</f>
        <v>A</v>
      </c>
      <c r="S99" s="152" t="str">
        <f aca="false">IF(OR(ISNUMBER(SEARCH("Annexe III 4",$P99)),ISNUMBER(SEARCH("Annexe III 5",$P99))),"Oui","Non")</f>
        <v>Non</v>
      </c>
      <c r="T99" s="154" t="s">
        <v>1558</v>
      </c>
      <c r="U99" s="154" t="s">
        <v>1559</v>
      </c>
      <c r="V99" s="155" t="s">
        <v>1560</v>
      </c>
    </row>
    <row r="100" customFormat="false" ht="15" hidden="false" customHeight="false" outlineLevel="0" collapsed="false">
      <c r="A100" s="151" t="s">
        <v>1513</v>
      </c>
      <c r="B100" s="69" t="s">
        <v>1561</v>
      </c>
      <c r="C100" s="152" t="s">
        <v>905</v>
      </c>
      <c r="D100" s="68" t="s">
        <v>1562</v>
      </c>
      <c r="E100" s="68" t="s">
        <v>1563</v>
      </c>
      <c r="F100" s="152" t="s">
        <v>1195</v>
      </c>
      <c r="G100" s="152" t="s">
        <v>51</v>
      </c>
      <c r="H100" s="68" t="s">
        <v>1564</v>
      </c>
      <c r="I100" s="152" t="s">
        <v>878</v>
      </c>
      <c r="J100" s="152" t="s">
        <v>864</v>
      </c>
      <c r="K100" s="153" t="n">
        <f aca="false">IFERROR(INDEX($AB$6:$AB$12,MATCH($I100,$AA$6:$AA$12,0)),"")</f>
        <v>2</v>
      </c>
      <c r="L100" s="153" t="n">
        <f aca="false">IFERROR(INDEX($AB$6:$AB$12,MATCH($J100,$AA$6:$AA$12,0)),"")</f>
        <v>3</v>
      </c>
      <c r="M100" s="67" t="n">
        <f aca="false">IF(OR($K100="",$L100=""),"",$L100-$K100)</f>
        <v>1</v>
      </c>
      <c r="N100" s="152" t="s">
        <v>910</v>
      </c>
      <c r="O100" s="32" t="n">
        <f aca="false">IFERROR(VALUE(LEFT($N100,1)),"")</f>
        <v>3</v>
      </c>
      <c r="P100" s="154" t="s">
        <v>1565</v>
      </c>
      <c r="Q100" s="69" t="s">
        <v>912</v>
      </c>
      <c r="R100" s="69" t="str">
        <f aca="false">IF(ISNUMBER(SEARCH("D+C",$Q100)),"D+C",IF(OR($Q100="D",ISNUMBER(SEARCH("D par éditeur",$Q100))),"D",IF(OR($Q100="P",ISNUMBER(SEARCH("P recherche",$Q100))),"P",IF($Q100="A","A",IF(ISNUMBER(SEARCH("PNO",$Q100)),"PNO","")))))</f>
        <v>PNO</v>
      </c>
      <c r="S100" s="152" t="str">
        <f aca="false">IF(OR(ISNUMBER(SEARCH("Annexe III 4",$P100)),ISNUMBER(SEARCH("Annexe III 5",$P100))),"Oui","Non")</f>
        <v>Non</v>
      </c>
      <c r="T100" s="154" t="s">
        <v>1566</v>
      </c>
      <c r="U100" s="154" t="s">
        <v>914</v>
      </c>
      <c r="V100" s="155"/>
    </row>
    <row r="101" customFormat="false" ht="19.4" hidden="false" customHeight="false" outlineLevel="0" collapsed="false">
      <c r="A101" s="151" t="s">
        <v>1513</v>
      </c>
      <c r="B101" s="69" t="s">
        <v>1567</v>
      </c>
      <c r="C101" s="152" t="s">
        <v>905</v>
      </c>
      <c r="D101" s="68" t="s">
        <v>1568</v>
      </c>
      <c r="E101" s="68" t="s">
        <v>1569</v>
      </c>
      <c r="F101" s="152" t="s">
        <v>888</v>
      </c>
      <c r="G101" s="152" t="s">
        <v>51</v>
      </c>
      <c r="H101" s="68" t="s">
        <v>1570</v>
      </c>
      <c r="I101" s="152" t="s">
        <v>878</v>
      </c>
      <c r="J101" s="152" t="s">
        <v>864</v>
      </c>
      <c r="K101" s="153" t="n">
        <f aca="false">IFERROR(INDEX($AB$6:$AB$12,MATCH($I101,$AA$6:$AA$12,0)),"")</f>
        <v>2</v>
      </c>
      <c r="L101" s="153" t="n">
        <f aca="false">IFERROR(INDEX($AB$6:$AB$12,MATCH($J101,$AA$6:$AA$12,0)),"")</f>
        <v>3</v>
      </c>
      <c r="M101" s="67" t="n">
        <f aca="false">IF(OR($K101="",$L101=""),"",$L101-$K101)</f>
        <v>1</v>
      </c>
      <c r="N101" s="152" t="s">
        <v>910</v>
      </c>
      <c r="O101" s="32" t="n">
        <f aca="false">IFERROR(VALUE(LEFT($N101,1)),"")</f>
        <v>3</v>
      </c>
      <c r="P101" s="154" t="s">
        <v>1571</v>
      </c>
      <c r="Q101" s="69" t="s">
        <v>912</v>
      </c>
      <c r="R101" s="69" t="str">
        <f aca="false">IF(ISNUMBER(SEARCH("D+C",$Q101)),"D+C",IF(OR($Q101="D",ISNUMBER(SEARCH("D par éditeur",$Q101))),"D",IF(OR($Q101="P",ISNUMBER(SEARCH("P recherche",$Q101))),"P",IF($Q101="A","A",IF(ISNUMBER(SEARCH("PNO",$Q101)),"PNO","")))))</f>
        <v>PNO</v>
      </c>
      <c r="S101" s="152" t="str">
        <f aca="false">IF(OR(ISNUMBER(SEARCH("Annexe III 4",$P101)),ISNUMBER(SEARCH("Annexe III 5",$P101))),"Oui","Non")</f>
        <v>Non</v>
      </c>
      <c r="T101" s="154" t="s">
        <v>950</v>
      </c>
      <c r="U101" s="154" t="s">
        <v>914</v>
      </c>
      <c r="V101" s="155"/>
    </row>
    <row r="102" customFormat="false" ht="50.7" hidden="false" customHeight="false" outlineLevel="0" collapsed="false">
      <c r="A102" s="151" t="s">
        <v>1513</v>
      </c>
      <c r="B102" s="69" t="s">
        <v>1572</v>
      </c>
      <c r="C102" s="152" t="s">
        <v>905</v>
      </c>
      <c r="D102" s="68" t="s">
        <v>1573</v>
      </c>
      <c r="E102" s="68" t="s">
        <v>1574</v>
      </c>
      <c r="F102" s="152" t="s">
        <v>908</v>
      </c>
      <c r="G102" s="152" t="s">
        <v>1121</v>
      </c>
      <c r="H102" s="68" t="s">
        <v>1575</v>
      </c>
      <c r="I102" s="152" t="s">
        <v>864</v>
      </c>
      <c r="J102" s="152" t="s">
        <v>865</v>
      </c>
      <c r="K102" s="153" t="n">
        <f aca="false">IFERROR(INDEX($AB$6:$AB$12,MATCH($I102,$AA$6:$AA$12,0)),"")</f>
        <v>3</v>
      </c>
      <c r="L102" s="153" t="n">
        <f aca="false">IFERROR(INDEX($AB$6:$AB$12,MATCH($J102,$AA$6:$AA$12,0)),"")</f>
        <v>4</v>
      </c>
      <c r="M102" s="67" t="n">
        <f aca="false">IF(OR($K102="",$L102=""),"",$L102-$K102)</f>
        <v>1</v>
      </c>
      <c r="N102" s="152" t="s">
        <v>866</v>
      </c>
      <c r="O102" s="32" t="n">
        <f aca="false">IFERROR(VALUE(LEFT($N102,1)),"")</f>
        <v>4</v>
      </c>
      <c r="P102" s="154" t="s">
        <v>1576</v>
      </c>
      <c r="Q102" s="69" t="s">
        <v>1577</v>
      </c>
      <c r="R102" s="69" t="str">
        <f aca="false">IF(ISNUMBER(SEARCH("D+C",$Q102)),"D+C",IF(OR($Q102="D",ISNUMBER(SEARCH("D par éditeur",$Q102))),"D",IF(OR($Q102="P",ISNUMBER(SEARCH("P recherche",$Q102))),"P",IF($Q102="A","A",IF(ISNUMBER(SEARCH("PNO",$Q102)),"PNO","")))))</f>
        <v>D</v>
      </c>
      <c r="S102" s="152" t="str">
        <f aca="false">IF(OR(ISNUMBER(SEARCH("Annexe III 4",$P102)),ISNUMBER(SEARCH("Annexe III 5",$P102))),"Oui","Non")</f>
        <v>Non</v>
      </c>
      <c r="T102" s="154" t="s">
        <v>1578</v>
      </c>
      <c r="U102" s="154" t="s">
        <v>1579</v>
      </c>
      <c r="V102" s="155" t="s">
        <v>1580</v>
      </c>
    </row>
    <row r="103" customFormat="false" ht="19.4" hidden="false" customHeight="false" outlineLevel="0" collapsed="false">
      <c r="A103" s="151" t="s">
        <v>1513</v>
      </c>
      <c r="B103" s="69" t="s">
        <v>1581</v>
      </c>
      <c r="C103" s="152" t="s">
        <v>905</v>
      </c>
      <c r="D103" s="68" t="s">
        <v>1582</v>
      </c>
      <c r="E103" s="68" t="s">
        <v>1583</v>
      </c>
      <c r="F103" s="152" t="s">
        <v>862</v>
      </c>
      <c r="G103" s="152" t="s">
        <v>51</v>
      </c>
      <c r="H103" s="68" t="s">
        <v>1584</v>
      </c>
      <c r="I103" s="152" t="s">
        <v>878</v>
      </c>
      <c r="J103" s="152" t="s">
        <v>903</v>
      </c>
      <c r="K103" s="153" t="n">
        <f aca="false">IFERROR(INDEX($AB$6:$AB$12,MATCH($I103,$AA$6:$AA$12,0)),"")</f>
        <v>2</v>
      </c>
      <c r="L103" s="153" t="n">
        <f aca="false">IFERROR(INDEX($AB$6:$AB$12,MATCH($J103,$AA$6:$AA$12,0)),"")</f>
        <v>1</v>
      </c>
      <c r="M103" s="67" t="n">
        <f aca="false">IF(OR($K103="",$L103=""),"",$L103-$K103)</f>
        <v>-1</v>
      </c>
      <c r="N103" s="152" t="s">
        <v>910</v>
      </c>
      <c r="O103" s="32" t="n">
        <f aca="false">IFERROR(VALUE(LEFT($N103,1)),"")</f>
        <v>3</v>
      </c>
      <c r="P103" s="154" t="s">
        <v>1585</v>
      </c>
      <c r="Q103" s="69" t="s">
        <v>912</v>
      </c>
      <c r="R103" s="69" t="str">
        <f aca="false">IF(ISNUMBER(SEARCH("D+C",$Q103)),"D+C",IF(OR($Q103="D",ISNUMBER(SEARCH("D par éditeur",$Q103))),"D",IF(OR($Q103="P",ISNUMBER(SEARCH("P recherche",$Q103))),"P",IF($Q103="A","A",IF(ISNUMBER(SEARCH("PNO",$Q103)),"PNO","")))))</f>
        <v>PNO</v>
      </c>
      <c r="S103" s="152" t="str">
        <f aca="false">IF(OR(ISNUMBER(SEARCH("Annexe III 4",$P103)),ISNUMBER(SEARCH("Annexe III 5",$P103))),"Oui","Non")</f>
        <v>Non</v>
      </c>
      <c r="T103" s="154" t="s">
        <v>950</v>
      </c>
      <c r="U103" s="154" t="s">
        <v>914</v>
      </c>
      <c r="V103" s="155"/>
    </row>
    <row r="104" customFormat="false" ht="83.55" hidden="false" customHeight="false" outlineLevel="0" collapsed="false">
      <c r="A104" s="151" t="s">
        <v>368</v>
      </c>
      <c r="B104" s="69" t="s">
        <v>367</v>
      </c>
      <c r="C104" s="152" t="s">
        <v>860</v>
      </c>
      <c r="D104" s="68" t="s">
        <v>366</v>
      </c>
      <c r="E104" s="68" t="s">
        <v>1586</v>
      </c>
      <c r="F104" s="152" t="s">
        <v>888</v>
      </c>
      <c r="G104" s="152" t="s">
        <v>888</v>
      </c>
      <c r="H104" s="68" t="s">
        <v>1587</v>
      </c>
      <c r="I104" s="152" t="s">
        <v>864</v>
      </c>
      <c r="J104" s="152" t="s">
        <v>865</v>
      </c>
      <c r="K104" s="153" t="n">
        <f aca="false">IFERROR(INDEX($AB$6:$AB$12,MATCH($I104,$AA$6:$AA$12,0)),"")</f>
        <v>3</v>
      </c>
      <c r="L104" s="153" t="n">
        <f aca="false">IFERROR(INDEX($AB$6:$AB$12,MATCH($J104,$AA$6:$AA$12,0)),"")</f>
        <v>4</v>
      </c>
      <c r="M104" s="67" t="n">
        <f aca="false">IF(OR($K104="",$L104=""),"",$L104-$K104)</f>
        <v>1</v>
      </c>
      <c r="N104" s="152" t="s">
        <v>866</v>
      </c>
      <c r="O104" s="32" t="n">
        <f aca="false">IFERROR(VALUE(LEFT($N104,1)),"")</f>
        <v>4</v>
      </c>
      <c r="P104" s="154" t="s">
        <v>1588</v>
      </c>
      <c r="Q104" s="69" t="s">
        <v>959</v>
      </c>
      <c r="R104" s="69" t="str">
        <f aca="false">IF(ISNUMBER(SEARCH("D+C",$Q104)),"D+C",IF(OR($Q104="D",ISNUMBER(SEARCH("D par éditeur",$Q104))),"D",IF(OR($Q104="P",ISNUMBER(SEARCH("P recherche",$Q104))),"P",IF($Q104="A","A",IF(ISNUMBER(SEARCH("PNO",$Q104)),"PNO","")))))</f>
        <v>D</v>
      </c>
      <c r="S104" s="152" t="str">
        <f aca="false">IF(OR(ISNUMBER(SEARCH("Annexe III 4",$P104)),ISNUMBER(SEARCH("Annexe III 5",$P104))),"Oui","Non")</f>
        <v>Non</v>
      </c>
      <c r="T104" s="154" t="s">
        <v>1589</v>
      </c>
      <c r="U104" s="154" t="s">
        <v>1590</v>
      </c>
      <c r="V104" s="155" t="s">
        <v>1591</v>
      </c>
    </row>
    <row r="105" customFormat="false" ht="50.7" hidden="false" customHeight="false" outlineLevel="0" collapsed="false">
      <c r="A105" s="151" t="s">
        <v>368</v>
      </c>
      <c r="B105" s="69" t="s">
        <v>391</v>
      </c>
      <c r="C105" s="152" t="s">
        <v>905</v>
      </c>
      <c r="D105" s="68" t="s">
        <v>390</v>
      </c>
      <c r="E105" s="68" t="s">
        <v>1592</v>
      </c>
      <c r="F105" s="152" t="s">
        <v>908</v>
      </c>
      <c r="G105" s="152" t="s">
        <v>1593</v>
      </c>
      <c r="H105" s="68" t="s">
        <v>1594</v>
      </c>
      <c r="I105" s="152" t="s">
        <v>864</v>
      </c>
      <c r="J105" s="152" t="s">
        <v>865</v>
      </c>
      <c r="K105" s="153" t="n">
        <f aca="false">IFERROR(INDEX($AB$6:$AB$12,MATCH($I105,$AA$6:$AA$12,0)),"")</f>
        <v>3</v>
      </c>
      <c r="L105" s="153" t="n">
        <f aca="false">IFERROR(INDEX($AB$6:$AB$12,MATCH($J105,$AA$6:$AA$12,0)),"")</f>
        <v>4</v>
      </c>
      <c r="M105" s="67" t="n">
        <f aca="false">IF(OR($K105="",$L105=""),"",$L105-$K105)</f>
        <v>1</v>
      </c>
      <c r="N105" s="152" t="s">
        <v>910</v>
      </c>
      <c r="O105" s="32" t="n">
        <f aca="false">IFERROR(VALUE(LEFT($N105,1)),"")</f>
        <v>3</v>
      </c>
      <c r="P105" s="154" t="s">
        <v>1595</v>
      </c>
      <c r="Q105" s="69" t="s">
        <v>959</v>
      </c>
      <c r="R105" s="69" t="str">
        <f aca="false">IF(ISNUMBER(SEARCH("D+C",$Q105)),"D+C",IF(OR($Q105="D",ISNUMBER(SEARCH("D par éditeur",$Q105))),"D",IF(OR($Q105="P",ISNUMBER(SEARCH("P recherche",$Q105))),"P",IF($Q105="A","A",IF(ISNUMBER(SEARCH("PNO",$Q105)),"PNO","")))))</f>
        <v>D</v>
      </c>
      <c r="S105" s="152" t="str">
        <f aca="false">IF(OR(ISNUMBER(SEARCH("Annexe III 4",$P105)),ISNUMBER(SEARCH("Annexe III 5",$P105))),"Oui","Non")</f>
        <v>Non</v>
      </c>
      <c r="T105" s="154" t="s">
        <v>1596</v>
      </c>
      <c r="U105" s="154" t="s">
        <v>1579</v>
      </c>
      <c r="V105" s="155" t="s">
        <v>1580</v>
      </c>
    </row>
    <row r="106" customFormat="false" ht="15" hidden="false" customHeight="false" outlineLevel="0" collapsed="false">
      <c r="A106" s="151" t="s">
        <v>368</v>
      </c>
      <c r="B106" s="69" t="s">
        <v>1597</v>
      </c>
      <c r="C106" s="152" t="s">
        <v>905</v>
      </c>
      <c r="D106" s="68" t="s">
        <v>1598</v>
      </c>
      <c r="E106" s="68" t="s">
        <v>1599</v>
      </c>
      <c r="F106" s="152" t="s">
        <v>888</v>
      </c>
      <c r="G106" s="152" t="s">
        <v>1022</v>
      </c>
      <c r="H106" s="68" t="s">
        <v>1600</v>
      </c>
      <c r="I106" s="152" t="s">
        <v>878</v>
      </c>
      <c r="J106" s="152" t="s">
        <v>864</v>
      </c>
      <c r="K106" s="153" t="n">
        <f aca="false">IFERROR(INDEX($AB$6:$AB$12,MATCH($I106,$AA$6:$AA$12,0)),"")</f>
        <v>2</v>
      </c>
      <c r="L106" s="153" t="n">
        <f aca="false">IFERROR(INDEX($AB$6:$AB$12,MATCH($J106,$AA$6:$AA$12,0)),"")</f>
        <v>3</v>
      </c>
      <c r="M106" s="67" t="n">
        <f aca="false">IF(OR($K106="",$L106=""),"",$L106-$K106)</f>
        <v>1</v>
      </c>
      <c r="N106" s="152" t="s">
        <v>910</v>
      </c>
      <c r="O106" s="32" t="n">
        <f aca="false">IFERROR(VALUE(LEFT($N106,1)),"")</f>
        <v>3</v>
      </c>
      <c r="P106" s="154" t="s">
        <v>1601</v>
      </c>
      <c r="Q106" s="69" t="s">
        <v>912</v>
      </c>
      <c r="R106" s="69" t="str">
        <f aca="false">IF(ISNUMBER(SEARCH("D+C",$Q106)),"D+C",IF(OR($Q106="D",ISNUMBER(SEARCH("D par éditeur",$Q106))),"D",IF(OR($Q106="P",ISNUMBER(SEARCH("P recherche",$Q106))),"P",IF($Q106="A","A",IF(ISNUMBER(SEARCH("PNO",$Q106)),"PNO","")))))</f>
        <v>PNO</v>
      </c>
      <c r="S106" s="152" t="str">
        <f aca="false">IF(OR(ISNUMBER(SEARCH("Annexe III 4",$P106)),ISNUMBER(SEARCH("Annexe III 5",$P106))),"Oui","Non")</f>
        <v>Non</v>
      </c>
      <c r="T106" s="154" t="s">
        <v>950</v>
      </c>
      <c r="U106" s="154" t="s">
        <v>914</v>
      </c>
      <c r="V106" s="155"/>
    </row>
    <row r="107" customFormat="false" ht="67.15" hidden="false" customHeight="false" outlineLevel="0" collapsed="false">
      <c r="A107" s="151" t="s">
        <v>368</v>
      </c>
      <c r="B107" s="69" t="s">
        <v>1602</v>
      </c>
      <c r="C107" s="152" t="s">
        <v>860</v>
      </c>
      <c r="D107" s="68" t="s">
        <v>1603</v>
      </c>
      <c r="E107" s="68" t="s">
        <v>1604</v>
      </c>
      <c r="F107" s="152" t="s">
        <v>888</v>
      </c>
      <c r="G107" s="152" t="s">
        <v>919</v>
      </c>
      <c r="H107" s="68" t="s">
        <v>1605</v>
      </c>
      <c r="I107" s="152" t="s">
        <v>878</v>
      </c>
      <c r="J107" s="152" t="s">
        <v>864</v>
      </c>
      <c r="K107" s="153" t="n">
        <f aca="false">IFERROR(INDEX($AB$6:$AB$12,MATCH($I107,$AA$6:$AA$12,0)),"")</f>
        <v>2</v>
      </c>
      <c r="L107" s="153" t="n">
        <f aca="false">IFERROR(INDEX($AB$6:$AB$12,MATCH($J107,$AA$6:$AA$12,0)),"")</f>
        <v>3</v>
      </c>
      <c r="M107" s="67" t="n">
        <f aca="false">IF(OR($K107="",$L107=""),"",$L107-$K107)</f>
        <v>1</v>
      </c>
      <c r="N107" s="152" t="s">
        <v>866</v>
      </c>
      <c r="O107" s="32" t="n">
        <f aca="false">IFERROR(VALUE(LEFT($N107,1)),"")</f>
        <v>4</v>
      </c>
      <c r="P107" s="154" t="s">
        <v>1606</v>
      </c>
      <c r="Q107" s="69" t="s">
        <v>912</v>
      </c>
      <c r="R107" s="69" t="str">
        <f aca="false">IF(ISNUMBER(SEARCH("D+C",$Q107)),"D+C",IF(OR($Q107="D",ISNUMBER(SEARCH("D par éditeur",$Q107))),"D",IF(OR($Q107="P",ISNUMBER(SEARCH("P recherche",$Q107))),"P",IF($Q107="A","A",IF(ISNUMBER(SEARCH("PNO",$Q107)),"PNO","")))))</f>
        <v>PNO</v>
      </c>
      <c r="S107" s="152" t="str">
        <f aca="false">IF(OR(ISNUMBER(SEARCH("Annexe III 4",$P107)),ISNUMBER(SEARCH("Annexe III 5",$P107))),"Oui","Non")</f>
        <v>Non</v>
      </c>
      <c r="T107" s="154" t="s">
        <v>913</v>
      </c>
      <c r="U107" s="154" t="s">
        <v>1607</v>
      </c>
      <c r="V107" s="155" t="s">
        <v>1608</v>
      </c>
    </row>
    <row r="108" customFormat="false" ht="19.4" hidden="false" customHeight="false" outlineLevel="0" collapsed="false">
      <c r="A108" s="151" t="s">
        <v>368</v>
      </c>
      <c r="B108" s="69" t="s">
        <v>1609</v>
      </c>
      <c r="C108" s="152" t="s">
        <v>860</v>
      </c>
      <c r="D108" s="68" t="s">
        <v>1610</v>
      </c>
      <c r="E108" s="68" t="s">
        <v>1611</v>
      </c>
      <c r="F108" s="152" t="s">
        <v>888</v>
      </c>
      <c r="G108" s="152" t="s">
        <v>1612</v>
      </c>
      <c r="H108" s="68" t="s">
        <v>1613</v>
      </c>
      <c r="I108" s="152" t="s">
        <v>864</v>
      </c>
      <c r="J108" s="152" t="s">
        <v>864</v>
      </c>
      <c r="K108" s="153" t="n">
        <f aca="false">IFERROR(INDEX($AB$6:$AB$12,MATCH($I108,$AA$6:$AA$12,0)),"")</f>
        <v>3</v>
      </c>
      <c r="L108" s="153" t="n">
        <f aca="false">IFERROR(INDEX($AB$6:$AB$12,MATCH($J108,$AA$6:$AA$12,0)),"")</f>
        <v>3</v>
      </c>
      <c r="M108" s="67" t="n">
        <f aca="false">IF(OR($K108="",$L108=""),"",$L108-$K108)</f>
        <v>0</v>
      </c>
      <c r="N108" s="152" t="s">
        <v>910</v>
      </c>
      <c r="O108" s="32" t="n">
        <f aca="false">IFERROR(VALUE(LEFT($N108,1)),"")</f>
        <v>3</v>
      </c>
      <c r="P108" s="154" t="s">
        <v>1614</v>
      </c>
      <c r="Q108" s="69" t="s">
        <v>912</v>
      </c>
      <c r="R108" s="69" t="str">
        <f aca="false">IF(ISNUMBER(SEARCH("D+C",$Q108)),"D+C",IF(OR($Q108="D",ISNUMBER(SEARCH("D par éditeur",$Q108))),"D",IF(OR($Q108="P",ISNUMBER(SEARCH("P recherche",$Q108))),"P",IF($Q108="A","A",IF(ISNUMBER(SEARCH("PNO",$Q108)),"PNO","")))))</f>
        <v>PNO</v>
      </c>
      <c r="S108" s="152" t="str">
        <f aca="false">IF(OR(ISNUMBER(SEARCH("Annexe III 4",$P108)),ISNUMBER(SEARCH("Annexe III 5",$P108))),"Oui","Non")</f>
        <v>Non</v>
      </c>
      <c r="T108" s="154" t="s">
        <v>1615</v>
      </c>
      <c r="U108" s="154" t="s">
        <v>1616</v>
      </c>
      <c r="V108" s="155"/>
    </row>
    <row r="109" customFormat="false" ht="91.75" hidden="false" customHeight="false" outlineLevel="0" collapsed="false">
      <c r="A109" s="151" t="s">
        <v>368</v>
      </c>
      <c r="B109" s="69" t="s">
        <v>398</v>
      </c>
      <c r="C109" s="152" t="s">
        <v>860</v>
      </c>
      <c r="D109" s="68" t="s">
        <v>397</v>
      </c>
      <c r="E109" s="68" t="s">
        <v>1617</v>
      </c>
      <c r="F109" s="152" t="s">
        <v>1618</v>
      </c>
      <c r="G109" s="152" t="s">
        <v>1619</v>
      </c>
      <c r="H109" s="68" t="s">
        <v>1620</v>
      </c>
      <c r="I109" s="152" t="s">
        <v>864</v>
      </c>
      <c r="J109" s="152" t="s">
        <v>865</v>
      </c>
      <c r="K109" s="153" t="n">
        <f aca="false">IFERROR(INDEX($AB$6:$AB$12,MATCH($I109,$AA$6:$AA$12,0)),"")</f>
        <v>3</v>
      </c>
      <c r="L109" s="153" t="n">
        <f aca="false">IFERROR(INDEX($AB$6:$AB$12,MATCH($J109,$AA$6:$AA$12,0)),"")</f>
        <v>4</v>
      </c>
      <c r="M109" s="67" t="n">
        <f aca="false">IF(OR($K109="",$L109=""),"",$L109-$K109)</f>
        <v>1</v>
      </c>
      <c r="N109" s="152" t="s">
        <v>910</v>
      </c>
      <c r="O109" s="32" t="n">
        <f aca="false">IFERROR(VALUE(LEFT($N109,1)),"")</f>
        <v>3</v>
      </c>
      <c r="P109" s="154" t="s">
        <v>1621</v>
      </c>
      <c r="Q109" s="69" t="s">
        <v>1622</v>
      </c>
      <c r="R109" s="69" t="str">
        <f aca="false">IF(ISNUMBER(SEARCH("D+C",$Q109)),"D+C",IF(OR($Q109="D",ISNUMBER(SEARCH("D par éditeur",$Q109))),"D",IF(OR($Q109="P",ISNUMBER(SEARCH("P recherche",$Q109))),"P",IF($Q109="A","A",IF(ISNUMBER(SEARCH("PNO",$Q109)),"PNO","")))))</f>
        <v>D+C</v>
      </c>
      <c r="S109" s="152" t="str">
        <f aca="false">IF(OR(ISNUMBER(SEARCH("Annexe III 4",$P109)),ISNUMBER(SEARCH("Annexe III 5",$P109))),"Oui","Non")</f>
        <v>Non</v>
      </c>
      <c r="T109" s="154" t="s">
        <v>1623</v>
      </c>
      <c r="U109" s="154" t="s">
        <v>1624</v>
      </c>
      <c r="V109" s="155" t="s">
        <v>1625</v>
      </c>
    </row>
    <row r="110" customFormat="false" ht="91.75" hidden="false" customHeight="false" outlineLevel="0" collapsed="false">
      <c r="A110" s="151" t="s">
        <v>368</v>
      </c>
      <c r="B110" s="69" t="s">
        <v>1626</v>
      </c>
      <c r="C110" s="152" t="s">
        <v>860</v>
      </c>
      <c r="D110" s="68" t="s">
        <v>1627</v>
      </c>
      <c r="E110" s="68" t="s">
        <v>1628</v>
      </c>
      <c r="F110" s="152" t="s">
        <v>888</v>
      </c>
      <c r="G110" s="152" t="s">
        <v>1086</v>
      </c>
      <c r="H110" s="68" t="s">
        <v>1629</v>
      </c>
      <c r="I110" s="152" t="s">
        <v>864</v>
      </c>
      <c r="J110" s="152" t="s">
        <v>865</v>
      </c>
      <c r="K110" s="153" t="n">
        <f aca="false">IFERROR(INDEX($AB$6:$AB$12,MATCH($I110,$AA$6:$AA$12,0)),"")</f>
        <v>3</v>
      </c>
      <c r="L110" s="153" t="n">
        <f aca="false">IFERROR(INDEX($AB$6:$AB$12,MATCH($J110,$AA$6:$AA$12,0)),"")</f>
        <v>4</v>
      </c>
      <c r="M110" s="67" t="n">
        <f aca="false">IF(OR($K110="",$L110=""),"",$L110-$K110)</f>
        <v>1</v>
      </c>
      <c r="N110" s="152" t="s">
        <v>910</v>
      </c>
      <c r="O110" s="32" t="n">
        <f aca="false">IFERROR(VALUE(LEFT($N110,1)),"")</f>
        <v>3</v>
      </c>
      <c r="P110" s="154" t="s">
        <v>1630</v>
      </c>
      <c r="Q110" s="69" t="s">
        <v>1622</v>
      </c>
      <c r="R110" s="69" t="str">
        <f aca="false">IF(ISNUMBER(SEARCH("D+C",$Q110)),"D+C",IF(OR($Q110="D",ISNUMBER(SEARCH("D par éditeur",$Q110))),"D",IF(OR($Q110="P",ISNUMBER(SEARCH("P recherche",$Q110))),"P",IF($Q110="A","A",IF(ISNUMBER(SEARCH("PNO",$Q110)),"PNO","")))))</f>
        <v>D+C</v>
      </c>
      <c r="S110" s="152" t="str">
        <f aca="false">IF(OR(ISNUMBER(SEARCH("Annexe III 4",$P110)),ISNUMBER(SEARCH("Annexe III 5",$P110))),"Oui","Non")</f>
        <v>Non</v>
      </c>
      <c r="T110" s="154" t="s">
        <v>1631</v>
      </c>
      <c r="U110" s="154" t="s">
        <v>1074</v>
      </c>
      <c r="V110" s="155" t="s">
        <v>1075</v>
      </c>
    </row>
    <row r="111" customFormat="false" ht="50.7" hidden="false" customHeight="false" outlineLevel="0" collapsed="false">
      <c r="A111" s="151" t="s">
        <v>368</v>
      </c>
      <c r="B111" s="69" t="s">
        <v>1632</v>
      </c>
      <c r="C111" s="152" t="s">
        <v>860</v>
      </c>
      <c r="D111" s="68" t="s">
        <v>1633</v>
      </c>
      <c r="E111" s="68" t="s">
        <v>1634</v>
      </c>
      <c r="F111" s="152" t="s">
        <v>862</v>
      </c>
      <c r="G111" s="152" t="s">
        <v>862</v>
      </c>
      <c r="H111" s="68" t="s">
        <v>1635</v>
      </c>
      <c r="I111" s="152" t="s">
        <v>864</v>
      </c>
      <c r="J111" s="152" t="s">
        <v>865</v>
      </c>
      <c r="K111" s="153" t="n">
        <f aca="false">IFERROR(INDEX($AB$6:$AB$12,MATCH($I111,$AA$6:$AA$12,0)),"")</f>
        <v>3</v>
      </c>
      <c r="L111" s="153" t="n">
        <f aca="false">IFERROR(INDEX($AB$6:$AB$12,MATCH($J111,$AA$6:$AA$12,0)),"")</f>
        <v>4</v>
      </c>
      <c r="M111" s="67" t="n">
        <f aca="false">IF(OR($K111="",$L111=""),"",$L111-$K111)</f>
        <v>1</v>
      </c>
      <c r="N111" s="152" t="s">
        <v>910</v>
      </c>
      <c r="O111" s="32" t="n">
        <f aca="false">IFERROR(VALUE(LEFT($N111,1)),"")</f>
        <v>3</v>
      </c>
      <c r="P111" s="154" t="s">
        <v>1636</v>
      </c>
      <c r="Q111" s="69" t="s">
        <v>868</v>
      </c>
      <c r="R111" s="69" t="str">
        <f aca="false">IF(ISNUMBER(SEARCH("D+C",$Q111)),"D+C",IF(OR($Q111="D",ISNUMBER(SEARCH("D par éditeur",$Q111))),"D",IF(OR($Q111="P",ISNUMBER(SEARCH("P recherche",$Q111))),"P",IF($Q111="A","A",IF(ISNUMBER(SEARCH("PNO",$Q111)),"PNO","")))))</f>
        <v>D+C</v>
      </c>
      <c r="S111" s="152" t="str">
        <f aca="false">IF(OR(ISNUMBER(SEARCH("Annexe III 4",$P111)),ISNUMBER(SEARCH("Annexe III 5",$P111))),"Oui","Non")</f>
        <v>Non</v>
      </c>
      <c r="T111" s="154" t="s">
        <v>1637</v>
      </c>
      <c r="U111" s="154" t="s">
        <v>1638</v>
      </c>
      <c r="V111" s="155" t="s">
        <v>1639</v>
      </c>
    </row>
    <row r="112" customFormat="false" ht="50.7" hidden="false" customHeight="false" outlineLevel="0" collapsed="false">
      <c r="A112" s="151" t="s">
        <v>368</v>
      </c>
      <c r="B112" s="69" t="s">
        <v>1640</v>
      </c>
      <c r="C112" s="152" t="s">
        <v>860</v>
      </c>
      <c r="D112" s="68" t="s">
        <v>1641</v>
      </c>
      <c r="E112" s="68" t="s">
        <v>1642</v>
      </c>
      <c r="F112" s="152" t="s">
        <v>1643</v>
      </c>
      <c r="G112" s="152" t="s">
        <v>862</v>
      </c>
      <c r="H112" s="68" t="s">
        <v>1644</v>
      </c>
      <c r="I112" s="152" t="s">
        <v>864</v>
      </c>
      <c r="J112" s="152" t="s">
        <v>864</v>
      </c>
      <c r="K112" s="153" t="n">
        <f aca="false">IFERROR(INDEX($AB$6:$AB$12,MATCH($I112,$AA$6:$AA$12,0)),"")</f>
        <v>3</v>
      </c>
      <c r="L112" s="153" t="n">
        <f aca="false">IFERROR(INDEX($AB$6:$AB$12,MATCH($J112,$AA$6:$AA$12,0)),"")</f>
        <v>3</v>
      </c>
      <c r="M112" s="67" t="n">
        <f aca="false">IF(OR($K112="",$L112=""),"",$L112-$K112)</f>
        <v>0</v>
      </c>
      <c r="N112" s="152" t="s">
        <v>879</v>
      </c>
      <c r="O112" s="32" t="n">
        <f aca="false">IFERROR(VALUE(LEFT($N112,1)),"")</f>
        <v>2</v>
      </c>
      <c r="P112" s="154" t="s">
        <v>1645</v>
      </c>
      <c r="Q112" s="69" t="s">
        <v>868</v>
      </c>
      <c r="R112" s="69" t="str">
        <f aca="false">IF(ISNUMBER(SEARCH("D+C",$Q112)),"D+C",IF(OR($Q112="D",ISNUMBER(SEARCH("D par éditeur",$Q112))),"D",IF(OR($Q112="P",ISNUMBER(SEARCH("P recherche",$Q112))),"P",IF($Q112="A","A",IF(ISNUMBER(SEARCH("PNO",$Q112)),"PNO","")))))</f>
        <v>D+C</v>
      </c>
      <c r="S112" s="152" t="str">
        <f aca="false">IF(OR(ISNUMBER(SEARCH("Annexe III 4",$P112)),ISNUMBER(SEARCH("Annexe III 5",$P112))),"Oui","Non")</f>
        <v>Oui</v>
      </c>
      <c r="T112" s="154" t="s">
        <v>1646</v>
      </c>
      <c r="U112" s="154" t="s">
        <v>1054</v>
      </c>
      <c r="V112" s="155" t="s">
        <v>1055</v>
      </c>
    </row>
    <row r="113" customFormat="false" ht="67.15" hidden="false" customHeight="false" outlineLevel="0" collapsed="false">
      <c r="A113" s="151" t="s">
        <v>368</v>
      </c>
      <c r="B113" s="69" t="s">
        <v>1647</v>
      </c>
      <c r="C113" s="152" t="s">
        <v>905</v>
      </c>
      <c r="D113" s="68" t="s">
        <v>1648</v>
      </c>
      <c r="E113" s="68" t="s">
        <v>1649</v>
      </c>
      <c r="F113" s="152" t="s">
        <v>1650</v>
      </c>
      <c r="G113" s="152" t="s">
        <v>1651</v>
      </c>
      <c r="H113" s="68" t="s">
        <v>1652</v>
      </c>
      <c r="I113" s="152" t="s">
        <v>864</v>
      </c>
      <c r="J113" s="152" t="s">
        <v>864</v>
      </c>
      <c r="K113" s="153" t="n">
        <f aca="false">IFERROR(INDEX($AB$6:$AB$12,MATCH($I113,$AA$6:$AA$12,0)),"")</f>
        <v>3</v>
      </c>
      <c r="L113" s="153" t="n">
        <f aca="false">IFERROR(INDEX($AB$6:$AB$12,MATCH($J113,$AA$6:$AA$12,0)),"")</f>
        <v>3</v>
      </c>
      <c r="M113" s="67" t="n">
        <f aca="false">IF(OR($K113="",$L113=""),"",$L113-$K113)</f>
        <v>0</v>
      </c>
      <c r="N113" s="152" t="s">
        <v>1653</v>
      </c>
      <c r="O113" s="32" t="n">
        <f aca="false">IFERROR(VALUE(LEFT($N113,1)),"")</f>
        <v>3</v>
      </c>
      <c r="P113" s="154" t="s">
        <v>1654</v>
      </c>
      <c r="Q113" s="69" t="s">
        <v>912</v>
      </c>
      <c r="R113" s="69" t="str">
        <f aca="false">IF(ISNUMBER(SEARCH("D+C",$Q113)),"D+C",IF(OR($Q113="D",ISNUMBER(SEARCH("D par éditeur",$Q113))),"D",IF(OR($Q113="P",ISNUMBER(SEARCH("P recherche",$Q113))),"P",IF($Q113="A","A",IF(ISNUMBER(SEARCH("PNO",$Q113)),"PNO","")))))</f>
        <v>PNO</v>
      </c>
      <c r="S113" s="152" t="str">
        <f aca="false">IF(OR(ISNUMBER(SEARCH("Annexe III 4",$P113)),ISNUMBER(SEARCH("Annexe III 5",$P113))),"Oui","Non")</f>
        <v>Oui</v>
      </c>
      <c r="T113" s="154" t="s">
        <v>1615</v>
      </c>
      <c r="U113" s="154" t="s">
        <v>1655</v>
      </c>
      <c r="V113" s="155" t="s">
        <v>1656</v>
      </c>
    </row>
    <row r="114" customFormat="false" ht="83.55" hidden="false" customHeight="false" outlineLevel="0" collapsed="false">
      <c r="A114" s="151" t="s">
        <v>368</v>
      </c>
      <c r="B114" s="69" t="s">
        <v>1657</v>
      </c>
      <c r="C114" s="152" t="s">
        <v>905</v>
      </c>
      <c r="D114" s="68" t="s">
        <v>1658</v>
      </c>
      <c r="E114" s="68" t="s">
        <v>1659</v>
      </c>
      <c r="F114" s="152" t="s">
        <v>888</v>
      </c>
      <c r="G114" s="152" t="s">
        <v>1022</v>
      </c>
      <c r="H114" s="68" t="s">
        <v>1660</v>
      </c>
      <c r="I114" s="152" t="s">
        <v>878</v>
      </c>
      <c r="J114" s="152" t="s">
        <v>864</v>
      </c>
      <c r="K114" s="153" t="n">
        <f aca="false">IFERROR(INDEX($AB$6:$AB$12,MATCH($I114,$AA$6:$AA$12,0)),"")</f>
        <v>2</v>
      </c>
      <c r="L114" s="153" t="n">
        <f aca="false">IFERROR(INDEX($AB$6:$AB$12,MATCH($J114,$AA$6:$AA$12,0)),"")</f>
        <v>3</v>
      </c>
      <c r="M114" s="67" t="n">
        <f aca="false">IF(OR($K114="",$L114=""),"",$L114-$K114)</f>
        <v>1</v>
      </c>
      <c r="N114" s="152" t="s">
        <v>910</v>
      </c>
      <c r="O114" s="32" t="n">
        <f aca="false">IFERROR(VALUE(LEFT($N114,1)),"")</f>
        <v>3</v>
      </c>
      <c r="P114" s="154" t="s">
        <v>1661</v>
      </c>
      <c r="Q114" s="69" t="s">
        <v>912</v>
      </c>
      <c r="R114" s="69" t="str">
        <f aca="false">IF(ISNUMBER(SEARCH("D+C",$Q114)),"D+C",IF(OR($Q114="D",ISNUMBER(SEARCH("D par éditeur",$Q114))),"D",IF(OR($Q114="P",ISNUMBER(SEARCH("P recherche",$Q114))),"P",IF($Q114="A","A",IF(ISNUMBER(SEARCH("PNO",$Q114)),"PNO","")))))</f>
        <v>PNO</v>
      </c>
      <c r="S114" s="152" t="str">
        <f aca="false">IF(OR(ISNUMBER(SEARCH("Annexe III 4",$P114)),ISNUMBER(SEARCH("Annexe III 5",$P114))),"Oui","Non")</f>
        <v>Non</v>
      </c>
      <c r="T114" s="154" t="s">
        <v>913</v>
      </c>
      <c r="U114" s="154" t="s">
        <v>1662</v>
      </c>
      <c r="V114" s="155" t="s">
        <v>1663</v>
      </c>
    </row>
    <row r="115" customFormat="false" ht="50.7" hidden="false" customHeight="false" outlineLevel="0" collapsed="false">
      <c r="A115" s="151" t="s">
        <v>368</v>
      </c>
      <c r="B115" s="69" t="s">
        <v>1664</v>
      </c>
      <c r="C115" s="152" t="s">
        <v>905</v>
      </c>
      <c r="D115" s="68" t="s">
        <v>1665</v>
      </c>
      <c r="E115" s="68" t="s">
        <v>1666</v>
      </c>
      <c r="F115" s="152" t="s">
        <v>1667</v>
      </c>
      <c r="G115" s="152" t="s">
        <v>862</v>
      </c>
      <c r="H115" s="68" t="s">
        <v>1668</v>
      </c>
      <c r="I115" s="152" t="s">
        <v>864</v>
      </c>
      <c r="J115" s="152" t="s">
        <v>865</v>
      </c>
      <c r="K115" s="153" t="n">
        <f aca="false">IFERROR(INDEX($AB$6:$AB$12,MATCH($I115,$AA$6:$AA$12,0)),"")</f>
        <v>3</v>
      </c>
      <c r="L115" s="153" t="n">
        <f aca="false">IFERROR(INDEX($AB$6:$AB$12,MATCH($J115,$AA$6:$AA$12,0)),"")</f>
        <v>4</v>
      </c>
      <c r="M115" s="67" t="n">
        <f aca="false">IF(OR($K115="",$L115=""),"",$L115-$K115)</f>
        <v>1</v>
      </c>
      <c r="N115" s="152" t="s">
        <v>910</v>
      </c>
      <c r="O115" s="32" t="n">
        <f aca="false">IFERROR(VALUE(LEFT($N115,1)),"")</f>
        <v>3</v>
      </c>
      <c r="P115" s="154" t="s">
        <v>1669</v>
      </c>
      <c r="Q115" s="69" t="s">
        <v>959</v>
      </c>
      <c r="R115" s="69" t="str">
        <f aca="false">IF(ISNUMBER(SEARCH("D+C",$Q115)),"D+C",IF(OR($Q115="D",ISNUMBER(SEARCH("D par éditeur",$Q115))),"D",IF(OR($Q115="P",ISNUMBER(SEARCH("P recherche",$Q115))),"P",IF($Q115="A","A",IF(ISNUMBER(SEARCH("PNO",$Q115)),"PNO","")))))</f>
        <v>D</v>
      </c>
      <c r="S115" s="152" t="str">
        <f aca="false">IF(OR(ISNUMBER(SEARCH("Annexe III 4",$P115)),ISNUMBER(SEARCH("Annexe III 5",$P115))),"Oui","Non")</f>
        <v>Non</v>
      </c>
      <c r="T115" s="154" t="s">
        <v>1670</v>
      </c>
      <c r="U115" s="154" t="s">
        <v>1671</v>
      </c>
      <c r="V115" s="155" t="s">
        <v>1639</v>
      </c>
    </row>
    <row r="116" customFormat="false" ht="50.7" hidden="false" customHeight="false" outlineLevel="0" collapsed="false">
      <c r="A116" s="151" t="s">
        <v>368</v>
      </c>
      <c r="B116" s="69" t="s">
        <v>1672</v>
      </c>
      <c r="C116" s="152" t="s">
        <v>905</v>
      </c>
      <c r="D116" s="68" t="s">
        <v>1673</v>
      </c>
      <c r="E116" s="68" t="s">
        <v>1674</v>
      </c>
      <c r="F116" s="152" t="s">
        <v>876</v>
      </c>
      <c r="G116" s="152" t="s">
        <v>876</v>
      </c>
      <c r="H116" s="68" t="s">
        <v>1675</v>
      </c>
      <c r="I116" s="152" t="s">
        <v>878</v>
      </c>
      <c r="J116" s="152" t="s">
        <v>864</v>
      </c>
      <c r="K116" s="153" t="n">
        <f aca="false">IFERROR(INDEX($AB$6:$AB$12,MATCH($I116,$AA$6:$AA$12,0)),"")</f>
        <v>2</v>
      </c>
      <c r="L116" s="153" t="n">
        <f aca="false">IFERROR(INDEX($AB$6:$AB$12,MATCH($J116,$AA$6:$AA$12,0)),"")</f>
        <v>3</v>
      </c>
      <c r="M116" s="67" t="n">
        <f aca="false">IF(OR($K116="",$L116=""),"",$L116-$K116)</f>
        <v>1</v>
      </c>
      <c r="N116" s="152" t="s">
        <v>879</v>
      </c>
      <c r="O116" s="32" t="n">
        <f aca="false">IFERROR(VALUE(LEFT($N116,1)),"")</f>
        <v>2</v>
      </c>
      <c r="P116" s="154" t="s">
        <v>1052</v>
      </c>
      <c r="Q116" s="69" t="s">
        <v>868</v>
      </c>
      <c r="R116" s="69" t="str">
        <f aca="false">IF(ISNUMBER(SEARCH("D+C",$Q116)),"D+C",IF(OR($Q116="D",ISNUMBER(SEARCH("D par éditeur",$Q116))),"D",IF(OR($Q116="P",ISNUMBER(SEARCH("P recherche",$Q116))),"P",IF($Q116="A","A",IF(ISNUMBER(SEARCH("PNO",$Q116)),"PNO","")))))</f>
        <v>D+C</v>
      </c>
      <c r="S116" s="152" t="str">
        <f aca="false">IF(OR(ISNUMBER(SEARCH("Annexe III 4",$P116)),ISNUMBER(SEARCH("Annexe III 5",$P116))),"Oui","Non")</f>
        <v>Non</v>
      </c>
      <c r="T116" s="154" t="s">
        <v>1676</v>
      </c>
      <c r="U116" s="154" t="s">
        <v>1054</v>
      </c>
      <c r="V116" s="155" t="s">
        <v>1055</v>
      </c>
    </row>
    <row r="117" customFormat="false" ht="15" hidden="false" customHeight="false" outlineLevel="0" collapsed="false">
      <c r="A117" s="151" t="s">
        <v>368</v>
      </c>
      <c r="B117" s="69" t="s">
        <v>1677</v>
      </c>
      <c r="C117" s="152" t="s">
        <v>905</v>
      </c>
      <c r="D117" s="68" t="s">
        <v>1678</v>
      </c>
      <c r="E117" s="68" t="s">
        <v>1679</v>
      </c>
      <c r="F117" s="152" t="s">
        <v>1680</v>
      </c>
      <c r="G117" s="152" t="s">
        <v>1022</v>
      </c>
      <c r="H117" s="68" t="s">
        <v>1681</v>
      </c>
      <c r="I117" s="152" t="s">
        <v>864</v>
      </c>
      <c r="J117" s="152" t="s">
        <v>864</v>
      </c>
      <c r="K117" s="153" t="n">
        <f aca="false">IFERROR(INDEX($AB$6:$AB$12,MATCH($I117,$AA$6:$AA$12,0)),"")</f>
        <v>3</v>
      </c>
      <c r="L117" s="153" t="n">
        <f aca="false">IFERROR(INDEX($AB$6:$AB$12,MATCH($J117,$AA$6:$AA$12,0)),"")</f>
        <v>3</v>
      </c>
      <c r="M117" s="67" t="n">
        <f aca="false">IF(OR($K117="",$L117=""),"",$L117-$K117)</f>
        <v>0</v>
      </c>
      <c r="N117" s="152" t="s">
        <v>910</v>
      </c>
      <c r="O117" s="32" t="n">
        <f aca="false">IFERROR(VALUE(LEFT($N117,1)),"")</f>
        <v>3</v>
      </c>
      <c r="P117" s="154" t="s">
        <v>1682</v>
      </c>
      <c r="Q117" s="69" t="s">
        <v>912</v>
      </c>
      <c r="R117" s="69" t="str">
        <f aca="false">IF(ISNUMBER(SEARCH("D+C",$Q117)),"D+C",IF(OR($Q117="D",ISNUMBER(SEARCH("D par éditeur",$Q117))),"D",IF(OR($Q117="P",ISNUMBER(SEARCH("P recherche",$Q117))),"P",IF($Q117="A","A",IF(ISNUMBER(SEARCH("PNO",$Q117)),"PNO","")))))</f>
        <v>PNO</v>
      </c>
      <c r="S117" s="152" t="str">
        <f aca="false">IF(OR(ISNUMBER(SEARCH("Annexe III 4",$P117)),ISNUMBER(SEARCH("Annexe III 5",$P117))),"Oui","Non")</f>
        <v>Non</v>
      </c>
      <c r="T117" s="154" t="s">
        <v>950</v>
      </c>
      <c r="U117" s="154" t="s">
        <v>914</v>
      </c>
      <c r="V117" s="155"/>
    </row>
    <row r="118" customFormat="false" ht="50.7" hidden="false" customHeight="false" outlineLevel="0" collapsed="false">
      <c r="A118" s="151" t="s">
        <v>368</v>
      </c>
      <c r="B118" s="69" t="s">
        <v>1683</v>
      </c>
      <c r="C118" s="152" t="s">
        <v>905</v>
      </c>
      <c r="D118" s="68" t="s">
        <v>1684</v>
      </c>
      <c r="E118" s="68" t="s">
        <v>1685</v>
      </c>
      <c r="F118" s="152" t="s">
        <v>888</v>
      </c>
      <c r="G118" s="152" t="s">
        <v>1686</v>
      </c>
      <c r="H118" s="68" t="s">
        <v>1687</v>
      </c>
      <c r="I118" s="152" t="s">
        <v>864</v>
      </c>
      <c r="J118" s="152" t="s">
        <v>864</v>
      </c>
      <c r="K118" s="153" t="n">
        <f aca="false">IFERROR(INDEX($AB$6:$AB$12,MATCH($I118,$AA$6:$AA$12,0)),"")</f>
        <v>3</v>
      </c>
      <c r="L118" s="153" t="n">
        <f aca="false">IFERROR(INDEX($AB$6:$AB$12,MATCH($J118,$AA$6:$AA$12,0)),"")</f>
        <v>3</v>
      </c>
      <c r="M118" s="67" t="n">
        <f aca="false">IF(OR($K118="",$L118=""),"",$L118-$K118)</f>
        <v>0</v>
      </c>
      <c r="N118" s="152" t="s">
        <v>910</v>
      </c>
      <c r="O118" s="32" t="n">
        <f aca="false">IFERROR(VALUE(LEFT($N118,1)),"")</f>
        <v>3</v>
      </c>
      <c r="P118" s="154" t="s">
        <v>1688</v>
      </c>
      <c r="Q118" s="69" t="s">
        <v>959</v>
      </c>
      <c r="R118" s="69" t="str">
        <f aca="false">IF(ISNUMBER(SEARCH("D+C",$Q118)),"D+C",IF(OR($Q118="D",ISNUMBER(SEARCH("D par éditeur",$Q118))),"D",IF(OR($Q118="P",ISNUMBER(SEARCH("P recherche",$Q118))),"P",IF($Q118="A","A",IF(ISNUMBER(SEARCH("PNO",$Q118)),"PNO","")))))</f>
        <v>D</v>
      </c>
      <c r="S118" s="152" t="str">
        <f aca="false">IF(OR(ISNUMBER(SEARCH("Annexe III 4",$P118)),ISNUMBER(SEARCH("Annexe III 5",$P118))),"Oui","Non")</f>
        <v>Non</v>
      </c>
      <c r="T118" s="154" t="s">
        <v>1689</v>
      </c>
      <c r="U118" s="154" t="s">
        <v>1690</v>
      </c>
      <c r="V118" s="155" t="s">
        <v>1217</v>
      </c>
    </row>
    <row r="119" customFormat="false" ht="15" hidden="false" customHeight="false" outlineLevel="0" collapsed="false">
      <c r="A119" s="151" t="s">
        <v>368</v>
      </c>
      <c r="B119" s="69" t="s">
        <v>1691</v>
      </c>
      <c r="C119" s="152" t="s">
        <v>905</v>
      </c>
      <c r="D119" s="68" t="s">
        <v>1692</v>
      </c>
      <c r="E119" s="68" t="s">
        <v>1693</v>
      </c>
      <c r="F119" s="152" t="s">
        <v>888</v>
      </c>
      <c r="G119" s="152" t="s">
        <v>1022</v>
      </c>
      <c r="H119" s="68" t="s">
        <v>1694</v>
      </c>
      <c r="I119" s="152" t="s">
        <v>878</v>
      </c>
      <c r="J119" s="152" t="s">
        <v>864</v>
      </c>
      <c r="K119" s="153" t="n">
        <f aca="false">IFERROR(INDEX($AB$6:$AB$12,MATCH($I119,$AA$6:$AA$12,0)),"")</f>
        <v>2</v>
      </c>
      <c r="L119" s="153" t="n">
        <f aca="false">IFERROR(INDEX($AB$6:$AB$12,MATCH($J119,$AA$6:$AA$12,0)),"")</f>
        <v>3</v>
      </c>
      <c r="M119" s="67" t="n">
        <f aca="false">IF(OR($K119="",$L119=""),"",$L119-$K119)</f>
        <v>1</v>
      </c>
      <c r="N119" s="152" t="s">
        <v>910</v>
      </c>
      <c r="O119" s="32" t="n">
        <f aca="false">IFERROR(VALUE(LEFT($N119,1)),"")</f>
        <v>3</v>
      </c>
      <c r="P119" s="154" t="s">
        <v>1695</v>
      </c>
      <c r="Q119" s="69" t="s">
        <v>912</v>
      </c>
      <c r="R119" s="69" t="str">
        <f aca="false">IF(ISNUMBER(SEARCH("D+C",$Q119)),"D+C",IF(OR($Q119="D",ISNUMBER(SEARCH("D par éditeur",$Q119))),"D",IF(OR($Q119="P",ISNUMBER(SEARCH("P recherche",$Q119))),"P",IF($Q119="A","A",IF(ISNUMBER(SEARCH("PNO",$Q119)),"PNO","")))))</f>
        <v>PNO</v>
      </c>
      <c r="S119" s="152" t="str">
        <f aca="false">IF(OR(ISNUMBER(SEARCH("Annexe III 4",$P119)),ISNUMBER(SEARCH("Annexe III 5",$P119))),"Oui","Non")</f>
        <v>Non</v>
      </c>
      <c r="T119" s="154" t="s">
        <v>913</v>
      </c>
      <c r="U119" s="154" t="s">
        <v>914</v>
      </c>
      <c r="V119" s="155"/>
    </row>
    <row r="120" customFormat="false" ht="15" hidden="false" customHeight="false" outlineLevel="0" collapsed="false">
      <c r="A120" s="151" t="s">
        <v>368</v>
      </c>
      <c r="B120" s="69" t="s">
        <v>1696</v>
      </c>
      <c r="C120" s="152" t="s">
        <v>905</v>
      </c>
      <c r="D120" s="68" t="s">
        <v>1697</v>
      </c>
      <c r="E120" s="68" t="s">
        <v>1698</v>
      </c>
      <c r="F120" s="152" t="s">
        <v>888</v>
      </c>
      <c r="G120" s="152" t="s">
        <v>1022</v>
      </c>
      <c r="H120" s="68" t="s">
        <v>1699</v>
      </c>
      <c r="I120" s="152" t="s">
        <v>878</v>
      </c>
      <c r="J120" s="152" t="s">
        <v>864</v>
      </c>
      <c r="K120" s="153" t="n">
        <f aca="false">IFERROR(INDEX($AB$6:$AB$12,MATCH($I120,$AA$6:$AA$12,0)),"")</f>
        <v>2</v>
      </c>
      <c r="L120" s="153" t="n">
        <f aca="false">IFERROR(INDEX($AB$6:$AB$12,MATCH($J120,$AA$6:$AA$12,0)),"")</f>
        <v>3</v>
      </c>
      <c r="M120" s="67" t="n">
        <f aca="false">IF(OR($K120="",$L120=""),"",$L120-$K120)</f>
        <v>1</v>
      </c>
      <c r="N120" s="152" t="s">
        <v>879</v>
      </c>
      <c r="O120" s="32" t="n">
        <f aca="false">IFERROR(VALUE(LEFT($N120,1)),"")</f>
        <v>2</v>
      </c>
      <c r="P120" s="154" t="s">
        <v>1700</v>
      </c>
      <c r="Q120" s="69" t="s">
        <v>912</v>
      </c>
      <c r="R120" s="69" t="str">
        <f aca="false">IF(ISNUMBER(SEARCH("D+C",$Q120)),"D+C",IF(OR($Q120="D",ISNUMBER(SEARCH("D par éditeur",$Q120))),"D",IF(OR($Q120="P",ISNUMBER(SEARCH("P recherche",$Q120))),"P",IF($Q120="A","A",IF(ISNUMBER(SEARCH("PNO",$Q120)),"PNO","")))))</f>
        <v>PNO</v>
      </c>
      <c r="S120" s="152" t="str">
        <f aca="false">IF(OR(ISNUMBER(SEARCH("Annexe III 4",$P120)),ISNUMBER(SEARCH("Annexe III 5",$P120))),"Oui","Non")</f>
        <v>Non</v>
      </c>
      <c r="T120" s="154" t="s">
        <v>950</v>
      </c>
      <c r="U120" s="154" t="s">
        <v>914</v>
      </c>
      <c r="V120" s="155"/>
    </row>
    <row r="121" customFormat="false" ht="19.4" hidden="false" customHeight="false" outlineLevel="0" collapsed="false">
      <c r="A121" s="151" t="s">
        <v>368</v>
      </c>
      <c r="B121" s="69" t="s">
        <v>1701</v>
      </c>
      <c r="C121" s="152" t="s">
        <v>905</v>
      </c>
      <c r="D121" s="68" t="s">
        <v>1702</v>
      </c>
      <c r="E121" s="68" t="s">
        <v>1703</v>
      </c>
      <c r="F121" s="152" t="s">
        <v>888</v>
      </c>
      <c r="G121" s="152" t="s">
        <v>51</v>
      </c>
      <c r="H121" s="68" t="s">
        <v>1704</v>
      </c>
      <c r="I121" s="152" t="s">
        <v>878</v>
      </c>
      <c r="J121" s="152" t="s">
        <v>878</v>
      </c>
      <c r="K121" s="153" t="n">
        <f aca="false">IFERROR(INDEX($AB$6:$AB$12,MATCH($I121,$AA$6:$AA$12,0)),"")</f>
        <v>2</v>
      </c>
      <c r="L121" s="153" t="n">
        <f aca="false">IFERROR(INDEX($AB$6:$AB$12,MATCH($J121,$AA$6:$AA$12,0)),"")</f>
        <v>2</v>
      </c>
      <c r="M121" s="67" t="n">
        <f aca="false">IF(OR($K121="",$L121=""),"",$L121-$K121)</f>
        <v>0</v>
      </c>
      <c r="N121" s="152" t="s">
        <v>910</v>
      </c>
      <c r="O121" s="32" t="n">
        <f aca="false">IFERROR(VALUE(LEFT($N121,1)),"")</f>
        <v>3</v>
      </c>
      <c r="P121" s="154" t="s">
        <v>1705</v>
      </c>
      <c r="Q121" s="69" t="s">
        <v>912</v>
      </c>
      <c r="R121" s="69" t="str">
        <f aca="false">IF(ISNUMBER(SEARCH("D+C",$Q121)),"D+C",IF(OR($Q121="D",ISNUMBER(SEARCH("D par éditeur",$Q121))),"D",IF(OR($Q121="P",ISNUMBER(SEARCH("P recherche",$Q121))),"P",IF($Q121="A","A",IF(ISNUMBER(SEARCH("PNO",$Q121)),"PNO","")))))</f>
        <v>PNO</v>
      </c>
      <c r="S121" s="152" t="str">
        <f aca="false">IF(OR(ISNUMBER(SEARCH("Annexe III 4",$P121)),ISNUMBER(SEARCH("Annexe III 5",$P121))),"Oui","Non")</f>
        <v>Non</v>
      </c>
      <c r="T121" s="154" t="s">
        <v>950</v>
      </c>
      <c r="U121" s="154" t="s">
        <v>914</v>
      </c>
      <c r="V121" s="155"/>
    </row>
    <row r="122" customFormat="false" ht="19.4" hidden="false" customHeight="false" outlineLevel="0" collapsed="false">
      <c r="A122" s="151" t="s">
        <v>368</v>
      </c>
      <c r="B122" s="69" t="s">
        <v>1706</v>
      </c>
      <c r="C122" s="152" t="s">
        <v>905</v>
      </c>
      <c r="D122" s="68" t="s">
        <v>1707</v>
      </c>
      <c r="E122" s="68" t="s">
        <v>1708</v>
      </c>
      <c r="F122" s="152" t="s">
        <v>876</v>
      </c>
      <c r="G122" s="152" t="s">
        <v>1022</v>
      </c>
      <c r="H122" s="68" t="s">
        <v>1709</v>
      </c>
      <c r="I122" s="152" t="s">
        <v>903</v>
      </c>
      <c r="J122" s="152" t="s">
        <v>878</v>
      </c>
      <c r="K122" s="153" t="n">
        <f aca="false">IFERROR(INDEX($AB$6:$AB$12,MATCH($I122,$AA$6:$AA$12,0)),"")</f>
        <v>1</v>
      </c>
      <c r="L122" s="153" t="n">
        <f aca="false">IFERROR(INDEX($AB$6:$AB$12,MATCH($J122,$AA$6:$AA$12,0)),"")</f>
        <v>2</v>
      </c>
      <c r="M122" s="67" t="n">
        <f aca="false">IF(OR($K122="",$L122=""),"",$L122-$K122)</f>
        <v>1</v>
      </c>
      <c r="N122" s="152" t="s">
        <v>910</v>
      </c>
      <c r="O122" s="32" t="n">
        <f aca="false">IFERROR(VALUE(LEFT($N122,1)),"")</f>
        <v>3</v>
      </c>
      <c r="P122" s="154" t="s">
        <v>1710</v>
      </c>
      <c r="Q122" s="69" t="s">
        <v>912</v>
      </c>
      <c r="R122" s="69" t="str">
        <f aca="false">IF(ISNUMBER(SEARCH("D+C",$Q122)),"D+C",IF(OR($Q122="D",ISNUMBER(SEARCH("D par éditeur",$Q122))),"D",IF(OR($Q122="P",ISNUMBER(SEARCH("P recherche",$Q122))),"P",IF($Q122="A","A",IF(ISNUMBER(SEARCH("PNO",$Q122)),"PNO","")))))</f>
        <v>PNO</v>
      </c>
      <c r="S122" s="152" t="str">
        <f aca="false">IF(OR(ISNUMBER(SEARCH("Annexe III 4",$P122)),ISNUMBER(SEARCH("Annexe III 5",$P122))),"Oui","Non")</f>
        <v>Non</v>
      </c>
      <c r="T122" s="154" t="s">
        <v>950</v>
      </c>
      <c r="U122" s="154" t="s">
        <v>914</v>
      </c>
      <c r="V122" s="155"/>
    </row>
    <row r="123" customFormat="false" ht="50.7" hidden="false" customHeight="false" outlineLevel="0" collapsed="false">
      <c r="A123" s="151" t="s">
        <v>368</v>
      </c>
      <c r="B123" s="69" t="s">
        <v>1711</v>
      </c>
      <c r="C123" s="152" t="s">
        <v>905</v>
      </c>
      <c r="D123" s="68" t="s">
        <v>1712</v>
      </c>
      <c r="E123" s="68" t="s">
        <v>1713</v>
      </c>
      <c r="F123" s="152" t="s">
        <v>888</v>
      </c>
      <c r="G123" s="152" t="s">
        <v>876</v>
      </c>
      <c r="H123" s="68" t="s">
        <v>1714</v>
      </c>
      <c r="I123" s="152" t="s">
        <v>903</v>
      </c>
      <c r="J123" s="152" t="s">
        <v>878</v>
      </c>
      <c r="K123" s="153" t="n">
        <f aca="false">IFERROR(INDEX($AB$6:$AB$12,MATCH($I123,$AA$6:$AA$12,0)),"")</f>
        <v>1</v>
      </c>
      <c r="L123" s="153" t="n">
        <f aca="false">IFERROR(INDEX($AB$6:$AB$12,MATCH($J123,$AA$6:$AA$12,0)),"")</f>
        <v>2</v>
      </c>
      <c r="M123" s="67" t="n">
        <f aca="false">IF(OR($K123="",$L123=""),"",$L123-$K123)</f>
        <v>1</v>
      </c>
      <c r="N123" s="152" t="s">
        <v>879</v>
      </c>
      <c r="O123" s="32" t="n">
        <f aca="false">IFERROR(VALUE(LEFT($N123,1)),"")</f>
        <v>2</v>
      </c>
      <c r="P123" s="154" t="s">
        <v>1715</v>
      </c>
      <c r="Q123" s="69" t="s">
        <v>941</v>
      </c>
      <c r="R123" s="69" t="str">
        <f aca="false">IF(ISNUMBER(SEARCH("D+C",$Q123)),"D+C",IF(OR($Q123="D",ISNUMBER(SEARCH("D par éditeur",$Q123))),"D",IF(OR($Q123="P",ISNUMBER(SEARCH("P recherche",$Q123))),"P",IF($Q123="A","A",IF(ISNUMBER(SEARCH("PNO",$Q123)),"PNO","")))))</f>
        <v>A</v>
      </c>
      <c r="S123" s="152" t="str">
        <f aca="false">IF(OR(ISNUMBER(SEARCH("Annexe III 4",$P123)),ISNUMBER(SEARCH("Annexe III 5",$P123))),"Oui","Non")</f>
        <v>Oui</v>
      </c>
      <c r="T123" s="154" t="s">
        <v>1716</v>
      </c>
      <c r="U123" s="154" t="s">
        <v>1054</v>
      </c>
      <c r="V123" s="155" t="s">
        <v>1055</v>
      </c>
    </row>
    <row r="124" customFormat="false" ht="75.35" hidden="false" customHeight="false" outlineLevel="0" collapsed="false">
      <c r="A124" s="151" t="s">
        <v>368</v>
      </c>
      <c r="B124" s="69" t="s">
        <v>1717</v>
      </c>
      <c r="C124" s="152" t="s">
        <v>905</v>
      </c>
      <c r="D124" s="68" t="s">
        <v>1718</v>
      </c>
      <c r="E124" s="68" t="s">
        <v>1719</v>
      </c>
      <c r="F124" s="152" t="s">
        <v>888</v>
      </c>
      <c r="G124" s="152" t="s">
        <v>1720</v>
      </c>
      <c r="H124" s="68" t="s">
        <v>1721</v>
      </c>
      <c r="I124" s="152" t="s">
        <v>895</v>
      </c>
      <c r="J124" s="152" t="s">
        <v>884</v>
      </c>
      <c r="K124" s="153" t="n">
        <f aca="false">IFERROR(INDEX($AB$6:$AB$12,MATCH($I124,$AA$6:$AA$12,0)),"")</f>
        <v>0</v>
      </c>
      <c r="L124" s="153" t="n">
        <f aca="false">IFERROR(INDEX($AB$6:$AB$12,MATCH($J124,$AA$6:$AA$12,0)),"")</f>
        <v>0</v>
      </c>
      <c r="M124" s="67" t="n">
        <f aca="false">IF(OR($K124="",$L124=""),"",$L124-$K124)</f>
        <v>0</v>
      </c>
      <c r="N124" s="152" t="s">
        <v>866</v>
      </c>
      <c r="O124" s="32" t="n">
        <f aca="false">IFERROR(VALUE(LEFT($N124,1)),"")</f>
        <v>4</v>
      </c>
      <c r="P124" s="154" t="s">
        <v>1722</v>
      </c>
      <c r="Q124" s="69" t="s">
        <v>959</v>
      </c>
      <c r="R124" s="69" t="str">
        <f aca="false">IF(ISNUMBER(SEARCH("D+C",$Q124)),"D+C",IF(OR($Q124="D",ISNUMBER(SEARCH("D par éditeur",$Q124))),"D",IF(OR($Q124="P",ISNUMBER(SEARCH("P recherche",$Q124))),"P",IF($Q124="A","A",IF(ISNUMBER(SEARCH("PNO",$Q124)),"PNO","")))))</f>
        <v>D</v>
      </c>
      <c r="S124" s="152" t="str">
        <f aca="false">IF(OR(ISNUMBER(SEARCH("Annexe III 4",$P124)),ISNUMBER(SEARCH("Annexe III 5",$P124))),"Oui","Non")</f>
        <v>Non</v>
      </c>
      <c r="T124" s="154" t="s">
        <v>1723</v>
      </c>
      <c r="U124" s="154" t="s">
        <v>1011</v>
      </c>
      <c r="V124" s="155" t="s">
        <v>1012</v>
      </c>
    </row>
    <row r="125" customFormat="false" ht="50.7" hidden="false" customHeight="false" outlineLevel="0" collapsed="false">
      <c r="A125" s="151" t="s">
        <v>368</v>
      </c>
      <c r="B125" s="69" t="s">
        <v>1724</v>
      </c>
      <c r="C125" s="152" t="s">
        <v>905</v>
      </c>
      <c r="D125" s="68" t="s">
        <v>1725</v>
      </c>
      <c r="E125" s="68" t="s">
        <v>1726</v>
      </c>
      <c r="F125" s="152" t="s">
        <v>862</v>
      </c>
      <c r="G125" s="152" t="s">
        <v>862</v>
      </c>
      <c r="H125" s="68" t="s">
        <v>1727</v>
      </c>
      <c r="I125" s="152" t="s">
        <v>864</v>
      </c>
      <c r="J125" s="152" t="s">
        <v>865</v>
      </c>
      <c r="K125" s="153" t="n">
        <f aca="false">IFERROR(INDEX($AB$6:$AB$12,MATCH($I125,$AA$6:$AA$12,0)),"")</f>
        <v>3</v>
      </c>
      <c r="L125" s="153" t="n">
        <f aca="false">IFERROR(INDEX($AB$6:$AB$12,MATCH($J125,$AA$6:$AA$12,0)),"")</f>
        <v>4</v>
      </c>
      <c r="M125" s="67" t="n">
        <f aca="false">IF(OR($K125="",$L125=""),"",$L125-$K125)</f>
        <v>1</v>
      </c>
      <c r="N125" s="152" t="s">
        <v>910</v>
      </c>
      <c r="O125" s="32" t="n">
        <f aca="false">IFERROR(VALUE(LEFT($N125,1)),"")</f>
        <v>3</v>
      </c>
      <c r="P125" s="154" t="s">
        <v>1728</v>
      </c>
      <c r="Q125" s="69" t="s">
        <v>868</v>
      </c>
      <c r="R125" s="69" t="str">
        <f aca="false">IF(ISNUMBER(SEARCH("D+C",$Q125)),"D+C",IF(OR($Q125="D",ISNUMBER(SEARCH("D par éditeur",$Q125))),"D",IF(OR($Q125="P",ISNUMBER(SEARCH("P recherche",$Q125))),"P",IF($Q125="A","A",IF(ISNUMBER(SEARCH("PNO",$Q125)),"PNO","")))))</f>
        <v>D+C</v>
      </c>
      <c r="S125" s="152" t="str">
        <f aca="false">IF(OR(ISNUMBER(SEARCH("Annexe III 4",$P125)),ISNUMBER(SEARCH("Annexe III 5",$P125))),"Oui","Non")</f>
        <v>Non</v>
      </c>
      <c r="T125" s="154" t="s">
        <v>1729</v>
      </c>
      <c r="U125" s="154" t="s">
        <v>1054</v>
      </c>
      <c r="V125" s="155" t="s">
        <v>1055</v>
      </c>
    </row>
  </sheetData>
  <autoFilter ref="A5:V125"/>
  <mergeCells count="5">
    <mergeCell ref="A1:V1"/>
    <mergeCell ref="A2:V2"/>
    <mergeCell ref="A3:V3"/>
    <mergeCell ref="AD15:AE15"/>
    <mergeCell ref="AD30:AE34"/>
  </mergeCell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C4A052"/>
    <pageSetUpPr fitToPage="true"/>
  </sheetPr>
  <dimension ref="A1:G4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5" topLeftCell="B6" activePane="bottomRight" state="frozen"/>
      <selection pane="topLeft" activeCell="A1" activeCellId="0" sqref="A1"/>
      <selection pane="topRight" activeCell="B1" activeCellId="0" sqref="B1"/>
      <selection pane="bottomLeft" activeCell="A6" activeCellId="0" sqref="A6"/>
      <selection pane="bottomRight" activeCell="A1" activeCellId="0" sqref="A1"/>
    </sheetView>
  </sheetViews>
  <sheetFormatPr defaultColWidth="8.6796875" defaultRowHeight="15" zeroHeight="false" outlineLevelRow="0" outlineLevelCol="0"/>
  <cols>
    <col collapsed="false" customWidth="true" hidden="false" outlineLevel="0" max="1" min="1" style="0" width="6"/>
    <col collapsed="false" customWidth="true" hidden="false" outlineLevel="0" max="2" min="2" style="0" width="62"/>
    <col collapsed="false" customWidth="true" hidden="false" outlineLevel="0" max="3" min="3" style="0" width="54"/>
    <col collapsed="false" customWidth="true" hidden="false" outlineLevel="0" max="4" min="4" style="0" width="30"/>
    <col collapsed="false" customWidth="true" hidden="false" outlineLevel="0" max="5" min="5" style="0" width="40"/>
    <col collapsed="false" customWidth="true" hidden="false" outlineLevel="0" max="6" min="6" style="0" width="78"/>
    <col collapsed="false" customWidth="true" hidden="false" outlineLevel="0" max="7" min="7" style="0" width="66"/>
  </cols>
  <sheetData>
    <row r="1" customFormat="false" ht="30" hidden="false" customHeight="true" outlineLevel="0" collapsed="false">
      <c r="A1" s="1" t="s">
        <v>1730</v>
      </c>
      <c r="B1" s="1"/>
      <c r="C1" s="1"/>
      <c r="D1" s="1"/>
      <c r="E1" s="1"/>
      <c r="F1" s="1"/>
    </row>
    <row r="2" customFormat="false" ht="19.5" hidden="false" customHeight="true" outlineLevel="0" collapsed="false">
      <c r="A2" s="2" t="s">
        <v>1731</v>
      </c>
      <c r="B2" s="2"/>
      <c r="C2" s="2"/>
      <c r="D2" s="2"/>
      <c r="E2" s="2"/>
      <c r="F2" s="2"/>
    </row>
    <row r="3" customFormat="false" ht="15.75" hidden="false" customHeight="true" outlineLevel="0" collapsed="false">
      <c r="A3" s="3" t="s">
        <v>1732</v>
      </c>
      <c r="B3" s="3"/>
      <c r="C3" s="3"/>
      <c r="D3" s="3"/>
      <c r="E3" s="3"/>
      <c r="F3" s="3"/>
    </row>
    <row r="5" customFormat="false" ht="30" hidden="false" customHeight="true" outlineLevel="0" collapsed="false">
      <c r="A5" s="8" t="s">
        <v>348</v>
      </c>
      <c r="B5" s="8" t="s">
        <v>1733</v>
      </c>
      <c r="C5" s="8" t="s">
        <v>1734</v>
      </c>
      <c r="D5" s="8" t="s">
        <v>1735</v>
      </c>
      <c r="E5" s="8" t="s">
        <v>85</v>
      </c>
      <c r="F5" s="8" t="s">
        <v>1736</v>
      </c>
      <c r="G5" s="8" t="s">
        <v>1737</v>
      </c>
    </row>
    <row r="6" customFormat="false" ht="15.75" hidden="false" customHeight="true" outlineLevel="0" collapsed="false">
      <c r="A6" s="26" t="s">
        <v>1738</v>
      </c>
      <c r="B6" s="26"/>
      <c r="C6" s="26"/>
      <c r="D6" s="26"/>
      <c r="E6" s="26"/>
      <c r="F6" s="26"/>
      <c r="G6" s="26"/>
    </row>
    <row r="7" customFormat="false" ht="19.4" hidden="false" customHeight="false" outlineLevel="0" collapsed="false">
      <c r="A7" s="67" t="n">
        <v>1</v>
      </c>
      <c r="B7" s="68" t="s">
        <v>1739</v>
      </c>
      <c r="C7" s="160" t="s">
        <v>1740</v>
      </c>
      <c r="D7" s="154" t="s">
        <v>1741</v>
      </c>
      <c r="E7" s="102" t="s">
        <v>1742</v>
      </c>
      <c r="F7" s="154" t="s">
        <v>1743</v>
      </c>
      <c r="G7" s="161" t="s">
        <v>1744</v>
      </c>
    </row>
    <row r="8" customFormat="false" ht="19.4" hidden="false" customHeight="false" outlineLevel="0" collapsed="false">
      <c r="A8" s="67" t="n">
        <v>2</v>
      </c>
      <c r="B8" s="68" t="s">
        <v>1745</v>
      </c>
      <c r="C8" s="160" t="s">
        <v>1746</v>
      </c>
      <c r="D8" s="154" t="s">
        <v>1747</v>
      </c>
      <c r="E8" s="102" t="s">
        <v>242</v>
      </c>
      <c r="F8" s="154" t="s">
        <v>1748</v>
      </c>
      <c r="G8" s="161" t="s">
        <v>1749</v>
      </c>
    </row>
    <row r="9" customFormat="false" ht="19.4" hidden="false" customHeight="false" outlineLevel="0" collapsed="false">
      <c r="A9" s="67" t="n">
        <v>3</v>
      </c>
      <c r="B9" s="68" t="s">
        <v>1750</v>
      </c>
      <c r="C9" s="160" t="s">
        <v>1751</v>
      </c>
      <c r="D9" s="154" t="s">
        <v>1752</v>
      </c>
      <c r="E9" s="102" t="s">
        <v>1753</v>
      </c>
      <c r="F9" s="154" t="s">
        <v>1754</v>
      </c>
      <c r="G9" s="161" t="s">
        <v>1755</v>
      </c>
    </row>
    <row r="10" customFormat="false" ht="19.4" hidden="false" customHeight="false" outlineLevel="0" collapsed="false">
      <c r="A10" s="67" t="n">
        <v>4</v>
      </c>
      <c r="B10" s="68" t="s">
        <v>1756</v>
      </c>
      <c r="C10" s="160" t="s">
        <v>1757</v>
      </c>
      <c r="D10" s="154" t="s">
        <v>1758</v>
      </c>
      <c r="E10" s="102" t="s">
        <v>1759</v>
      </c>
      <c r="F10" s="154" t="s">
        <v>1760</v>
      </c>
      <c r="G10" s="161" t="s">
        <v>1761</v>
      </c>
    </row>
    <row r="11" customFormat="false" ht="19.4" hidden="false" customHeight="false" outlineLevel="0" collapsed="false">
      <c r="A11" s="67" t="n">
        <v>5</v>
      </c>
      <c r="B11" s="68" t="s">
        <v>1762</v>
      </c>
      <c r="C11" s="160" t="s">
        <v>1763</v>
      </c>
      <c r="D11" s="154" t="s">
        <v>1764</v>
      </c>
      <c r="E11" s="102" t="s">
        <v>1765</v>
      </c>
      <c r="F11" s="154" t="s">
        <v>1766</v>
      </c>
      <c r="G11" s="161" t="s">
        <v>1767</v>
      </c>
    </row>
    <row r="12" customFormat="false" ht="19.4" hidden="false" customHeight="false" outlineLevel="0" collapsed="false">
      <c r="A12" s="67" t="n">
        <v>6</v>
      </c>
      <c r="B12" s="68" t="s">
        <v>1768</v>
      </c>
      <c r="C12" s="160" t="s">
        <v>1769</v>
      </c>
      <c r="D12" s="154" t="s">
        <v>1770</v>
      </c>
      <c r="E12" s="102" t="s">
        <v>1771</v>
      </c>
      <c r="F12" s="154" t="s">
        <v>1772</v>
      </c>
      <c r="G12" s="161" t="s">
        <v>1773</v>
      </c>
    </row>
    <row r="13" customFormat="false" ht="15.75" hidden="false" customHeight="true" outlineLevel="0" collapsed="false">
      <c r="A13" s="26" t="s">
        <v>1774</v>
      </c>
      <c r="B13" s="26"/>
      <c r="C13" s="26"/>
      <c r="D13" s="26"/>
      <c r="E13" s="26"/>
      <c r="F13" s="26"/>
      <c r="G13" s="26"/>
    </row>
    <row r="14" customFormat="false" ht="19.4" hidden="false" customHeight="false" outlineLevel="0" collapsed="false">
      <c r="A14" s="67" t="n">
        <v>7</v>
      </c>
      <c r="B14" s="68" t="s">
        <v>1775</v>
      </c>
      <c r="C14" s="160" t="s">
        <v>1776</v>
      </c>
      <c r="D14" s="154" t="s">
        <v>1777</v>
      </c>
      <c r="E14" s="102" t="s">
        <v>1778</v>
      </c>
      <c r="F14" s="154" t="s">
        <v>1779</v>
      </c>
      <c r="G14" s="161" t="s">
        <v>871</v>
      </c>
    </row>
    <row r="15" customFormat="false" ht="19.4" hidden="false" customHeight="false" outlineLevel="0" collapsed="false">
      <c r="A15" s="67" t="n">
        <v>8</v>
      </c>
      <c r="B15" s="68" t="s">
        <v>1780</v>
      </c>
      <c r="C15" s="160" t="s">
        <v>1781</v>
      </c>
      <c r="D15" s="154" t="s">
        <v>1782</v>
      </c>
      <c r="E15" s="102" t="s">
        <v>1783</v>
      </c>
      <c r="F15" s="154" t="s">
        <v>1784</v>
      </c>
      <c r="G15" s="161" t="s">
        <v>1785</v>
      </c>
    </row>
    <row r="16" customFormat="false" ht="19.4" hidden="false" customHeight="false" outlineLevel="0" collapsed="false">
      <c r="A16" s="67" t="n">
        <v>9</v>
      </c>
      <c r="B16" s="68" t="s">
        <v>1786</v>
      </c>
      <c r="C16" s="160" t="s">
        <v>1787</v>
      </c>
      <c r="D16" s="154" t="s">
        <v>1788</v>
      </c>
      <c r="E16" s="102" t="s">
        <v>1789</v>
      </c>
      <c r="F16" s="154" t="s">
        <v>1790</v>
      </c>
      <c r="G16" s="161" t="s">
        <v>1791</v>
      </c>
    </row>
    <row r="17" customFormat="false" ht="15.75" hidden="false" customHeight="true" outlineLevel="0" collapsed="false">
      <c r="A17" s="26" t="s">
        <v>1792</v>
      </c>
      <c r="B17" s="26"/>
      <c r="C17" s="26"/>
      <c r="D17" s="26"/>
      <c r="E17" s="26"/>
      <c r="F17" s="26"/>
      <c r="G17" s="26"/>
    </row>
    <row r="18" customFormat="false" ht="28.35" hidden="false" customHeight="false" outlineLevel="0" collapsed="false">
      <c r="A18" s="67" t="n">
        <v>10</v>
      </c>
      <c r="B18" s="68" t="s">
        <v>1793</v>
      </c>
      <c r="C18" s="160" t="s">
        <v>1794</v>
      </c>
      <c r="D18" s="154" t="s">
        <v>1795</v>
      </c>
      <c r="E18" s="102" t="s">
        <v>149</v>
      </c>
      <c r="F18" s="154" t="s">
        <v>1796</v>
      </c>
      <c r="G18" s="161" t="s">
        <v>1797</v>
      </c>
    </row>
    <row r="19" customFormat="false" ht="19.4" hidden="false" customHeight="false" outlineLevel="0" collapsed="false">
      <c r="A19" s="67" t="n">
        <v>11</v>
      </c>
      <c r="B19" s="68" t="s">
        <v>1798</v>
      </c>
      <c r="C19" s="160" t="s">
        <v>1799</v>
      </c>
      <c r="D19" s="154" t="s">
        <v>1800</v>
      </c>
      <c r="E19" s="102" t="s">
        <v>201</v>
      </c>
      <c r="F19" s="154" t="s">
        <v>1801</v>
      </c>
      <c r="G19" s="161" t="s">
        <v>1802</v>
      </c>
    </row>
    <row r="20" customFormat="false" ht="19.4" hidden="false" customHeight="false" outlineLevel="0" collapsed="false">
      <c r="A20" s="67" t="n">
        <v>12</v>
      </c>
      <c r="B20" s="68" t="s">
        <v>1803</v>
      </c>
      <c r="C20" s="160" t="s">
        <v>1804</v>
      </c>
      <c r="D20" s="154" t="s">
        <v>1805</v>
      </c>
      <c r="E20" s="102" t="s">
        <v>1806</v>
      </c>
      <c r="F20" s="154" t="s">
        <v>1807</v>
      </c>
      <c r="G20" s="161" t="s">
        <v>1808</v>
      </c>
    </row>
    <row r="21" customFormat="false" ht="28.35" hidden="false" customHeight="false" outlineLevel="0" collapsed="false">
      <c r="A21" s="67" t="n">
        <v>13</v>
      </c>
      <c r="B21" s="68" t="s">
        <v>1809</v>
      </c>
      <c r="C21" s="160" t="s">
        <v>1810</v>
      </c>
      <c r="D21" s="154" t="s">
        <v>1800</v>
      </c>
      <c r="E21" s="102" t="s">
        <v>176</v>
      </c>
      <c r="F21" s="154" t="s">
        <v>1811</v>
      </c>
      <c r="G21" s="161" t="s">
        <v>1812</v>
      </c>
    </row>
    <row r="22" customFormat="false" ht="19.4" hidden="false" customHeight="false" outlineLevel="0" collapsed="false">
      <c r="A22" s="67" t="n">
        <v>14</v>
      </c>
      <c r="B22" s="68" t="s">
        <v>1813</v>
      </c>
      <c r="C22" s="160" t="s">
        <v>1814</v>
      </c>
      <c r="D22" s="154" t="s">
        <v>1815</v>
      </c>
      <c r="E22" s="102" t="s">
        <v>176</v>
      </c>
      <c r="F22" s="154" t="s">
        <v>1816</v>
      </c>
      <c r="G22" s="161" t="s">
        <v>1817</v>
      </c>
    </row>
    <row r="23" customFormat="false" ht="19.4" hidden="false" customHeight="false" outlineLevel="0" collapsed="false">
      <c r="A23" s="67" t="n">
        <v>15</v>
      </c>
      <c r="B23" s="68" t="s">
        <v>1818</v>
      </c>
      <c r="C23" s="160" t="s">
        <v>1819</v>
      </c>
      <c r="D23" s="154" t="s">
        <v>1820</v>
      </c>
      <c r="E23" s="102" t="s">
        <v>1821</v>
      </c>
      <c r="F23" s="154" t="s">
        <v>1822</v>
      </c>
      <c r="G23" s="161" t="s">
        <v>1823</v>
      </c>
    </row>
    <row r="24" customFormat="false" ht="19.4" hidden="false" customHeight="false" outlineLevel="0" collapsed="false">
      <c r="A24" s="67" t="n">
        <v>16</v>
      </c>
      <c r="B24" s="68" t="s">
        <v>1824</v>
      </c>
      <c r="C24" s="160" t="s">
        <v>1825</v>
      </c>
      <c r="D24" s="154" t="s">
        <v>1777</v>
      </c>
      <c r="E24" s="102" t="s">
        <v>1826</v>
      </c>
      <c r="F24" s="154" t="s">
        <v>1827</v>
      </c>
      <c r="G24" s="161" t="s">
        <v>1828</v>
      </c>
    </row>
    <row r="25" customFormat="false" ht="15.75" hidden="false" customHeight="true" outlineLevel="0" collapsed="false">
      <c r="A25" s="26" t="s">
        <v>1829</v>
      </c>
      <c r="B25" s="26"/>
      <c r="C25" s="26"/>
      <c r="D25" s="26"/>
      <c r="E25" s="26"/>
      <c r="F25" s="26"/>
      <c r="G25" s="26"/>
    </row>
    <row r="26" customFormat="false" ht="15" hidden="false" customHeight="false" outlineLevel="0" collapsed="false">
      <c r="A26" s="67" t="n">
        <v>17</v>
      </c>
      <c r="B26" s="68" t="s">
        <v>1830</v>
      </c>
      <c r="C26" s="160" t="s">
        <v>1831</v>
      </c>
      <c r="D26" s="154" t="s">
        <v>1832</v>
      </c>
      <c r="E26" s="102" t="s">
        <v>1833</v>
      </c>
      <c r="F26" s="154" t="s">
        <v>1834</v>
      </c>
      <c r="G26" s="161" t="s">
        <v>1835</v>
      </c>
    </row>
    <row r="27" customFormat="false" ht="19.4" hidden="false" customHeight="false" outlineLevel="0" collapsed="false">
      <c r="A27" s="67" t="n">
        <v>18</v>
      </c>
      <c r="B27" s="68" t="s">
        <v>1836</v>
      </c>
      <c r="C27" s="160" t="s">
        <v>1837</v>
      </c>
      <c r="D27" s="154" t="s">
        <v>1838</v>
      </c>
      <c r="E27" s="102" t="s">
        <v>1839</v>
      </c>
      <c r="F27" s="154" t="s">
        <v>1840</v>
      </c>
      <c r="G27" s="161" t="s">
        <v>1841</v>
      </c>
    </row>
    <row r="28" customFormat="false" ht="19.4" hidden="false" customHeight="false" outlineLevel="0" collapsed="false">
      <c r="A28" s="67" t="n">
        <v>19</v>
      </c>
      <c r="B28" s="68" t="s">
        <v>1842</v>
      </c>
      <c r="C28" s="160" t="s">
        <v>1843</v>
      </c>
      <c r="D28" s="154" t="s">
        <v>1777</v>
      </c>
      <c r="E28" s="102" t="s">
        <v>171</v>
      </c>
      <c r="F28" s="154" t="s">
        <v>1844</v>
      </c>
      <c r="G28" s="161" t="s">
        <v>1845</v>
      </c>
    </row>
    <row r="29" customFormat="false" ht="19.4" hidden="false" customHeight="false" outlineLevel="0" collapsed="false">
      <c r="A29" s="67" t="n">
        <v>20</v>
      </c>
      <c r="B29" s="68" t="s">
        <v>1846</v>
      </c>
      <c r="C29" s="160" t="s">
        <v>1847</v>
      </c>
      <c r="D29" s="154" t="s">
        <v>1777</v>
      </c>
      <c r="E29" s="102" t="s">
        <v>1848</v>
      </c>
      <c r="F29" s="154" t="s">
        <v>1849</v>
      </c>
      <c r="G29" s="161" t="s">
        <v>1850</v>
      </c>
    </row>
    <row r="30" customFormat="false" ht="15" hidden="false" customHeight="false" outlineLevel="0" collapsed="false">
      <c r="A30" s="67" t="n">
        <v>21</v>
      </c>
      <c r="B30" s="68" t="s">
        <v>1851</v>
      </c>
      <c r="C30" s="160" t="s">
        <v>1852</v>
      </c>
      <c r="D30" s="154" t="s">
        <v>1853</v>
      </c>
      <c r="E30" s="102" t="s">
        <v>1839</v>
      </c>
      <c r="F30" s="154" t="s">
        <v>1854</v>
      </c>
      <c r="G30" s="161" t="s">
        <v>1855</v>
      </c>
    </row>
    <row r="31" customFormat="false" ht="15" hidden="false" customHeight="false" outlineLevel="0" collapsed="false">
      <c r="A31" s="67" t="n">
        <v>22</v>
      </c>
      <c r="B31" s="68" t="s">
        <v>1856</v>
      </c>
      <c r="C31" s="160" t="s">
        <v>1857</v>
      </c>
      <c r="D31" s="154" t="s">
        <v>1858</v>
      </c>
      <c r="E31" s="102" t="s">
        <v>1859</v>
      </c>
      <c r="F31" s="154" t="s">
        <v>1860</v>
      </c>
      <c r="G31" s="161" t="s">
        <v>1861</v>
      </c>
    </row>
    <row r="32" customFormat="false" ht="15.75" hidden="false" customHeight="true" outlineLevel="0" collapsed="false">
      <c r="A32" s="26" t="s">
        <v>1862</v>
      </c>
      <c r="B32" s="26"/>
      <c r="C32" s="26"/>
      <c r="D32" s="26"/>
      <c r="E32" s="26"/>
      <c r="F32" s="26"/>
      <c r="G32" s="26"/>
    </row>
    <row r="33" customFormat="false" ht="37.3" hidden="false" customHeight="false" outlineLevel="0" collapsed="false">
      <c r="A33" s="67" t="n">
        <v>23</v>
      </c>
      <c r="B33" s="68" t="s">
        <v>1863</v>
      </c>
      <c r="C33" s="160" t="s">
        <v>1864</v>
      </c>
      <c r="D33" s="154" t="s">
        <v>1865</v>
      </c>
      <c r="E33" s="102" t="s">
        <v>1866</v>
      </c>
      <c r="F33" s="154" t="s">
        <v>1867</v>
      </c>
      <c r="G33" s="161" t="s">
        <v>1868</v>
      </c>
    </row>
    <row r="34" customFormat="false" ht="19.4" hidden="false" customHeight="false" outlineLevel="0" collapsed="false">
      <c r="A34" s="67" t="n">
        <v>24</v>
      </c>
      <c r="B34" s="68" t="s">
        <v>1869</v>
      </c>
      <c r="C34" s="160" t="s">
        <v>1864</v>
      </c>
      <c r="D34" s="154" t="s">
        <v>1870</v>
      </c>
      <c r="E34" s="102" t="s">
        <v>1866</v>
      </c>
      <c r="F34" s="154" t="s">
        <v>1871</v>
      </c>
      <c r="G34" s="161" t="s">
        <v>1872</v>
      </c>
    </row>
    <row r="35" customFormat="false" ht="19.4" hidden="false" customHeight="false" outlineLevel="0" collapsed="false">
      <c r="A35" s="67" t="n">
        <v>25</v>
      </c>
      <c r="B35" s="68" t="s">
        <v>1873</v>
      </c>
      <c r="C35" s="160" t="s">
        <v>1874</v>
      </c>
      <c r="D35" s="154" t="s">
        <v>1875</v>
      </c>
      <c r="E35" s="102" t="s">
        <v>143</v>
      </c>
      <c r="F35" s="154" t="s">
        <v>1876</v>
      </c>
      <c r="G35" s="161" t="s">
        <v>1877</v>
      </c>
    </row>
    <row r="36" customFormat="false" ht="15" hidden="false" customHeight="false" outlineLevel="0" collapsed="false">
      <c r="A36" s="67" t="n">
        <v>26</v>
      </c>
      <c r="B36" s="68" t="s">
        <v>1878</v>
      </c>
      <c r="C36" s="160" t="s">
        <v>1879</v>
      </c>
      <c r="D36" s="154" t="s">
        <v>1880</v>
      </c>
      <c r="E36" s="102" t="s">
        <v>122</v>
      </c>
      <c r="F36" s="154" t="s">
        <v>1881</v>
      </c>
      <c r="G36" s="161" t="s">
        <v>1882</v>
      </c>
    </row>
    <row r="37" customFormat="false" ht="15.75" hidden="false" customHeight="true" outlineLevel="0" collapsed="false">
      <c r="A37" s="26" t="s">
        <v>1883</v>
      </c>
      <c r="B37" s="26"/>
      <c r="C37" s="26"/>
      <c r="D37" s="26"/>
      <c r="E37" s="26"/>
      <c r="F37" s="26"/>
      <c r="G37" s="26"/>
    </row>
    <row r="38" customFormat="false" ht="19.4" hidden="false" customHeight="false" outlineLevel="0" collapsed="false">
      <c r="A38" s="67" t="n">
        <v>27</v>
      </c>
      <c r="B38" s="68" t="s">
        <v>1884</v>
      </c>
      <c r="C38" s="160" t="s">
        <v>1885</v>
      </c>
      <c r="D38" s="154" t="s">
        <v>1886</v>
      </c>
      <c r="E38" s="102" t="s">
        <v>1887</v>
      </c>
      <c r="F38" s="154" t="s">
        <v>1888</v>
      </c>
      <c r="G38" s="162"/>
    </row>
    <row r="40" customFormat="false" ht="27.75" hidden="false" customHeight="true" outlineLevel="0" collapsed="false">
      <c r="A40" s="25" t="s">
        <v>1889</v>
      </c>
      <c r="B40" s="25"/>
      <c r="C40" s="25"/>
      <c r="D40" s="25"/>
      <c r="E40" s="25"/>
      <c r="F40" s="25"/>
      <c r="G40" s="25"/>
    </row>
  </sheetData>
  <mergeCells count="10">
    <mergeCell ref="A1:F1"/>
    <mergeCell ref="A2:F2"/>
    <mergeCell ref="A3:F3"/>
    <mergeCell ref="A6:G6"/>
    <mergeCell ref="A13:G13"/>
    <mergeCell ref="A17:G17"/>
    <mergeCell ref="A25:G25"/>
    <mergeCell ref="A32:G32"/>
    <mergeCell ref="A37:G37"/>
    <mergeCell ref="A40:G40"/>
  </mergeCells>
  <hyperlinks>
    <hyperlink ref="G7" r:id="rId1" display="https://academic.oup.com/qje/article/140/2/889/7990658"/>
    <hyperlink ref="G8" r:id="rId2" display="https://www.nature.com/articles/s41562-024-02024-1"/>
    <hyperlink ref="G9" r:id="rId3" display="https://metr.org/blog/2025-07-10-early-2025-ai-experienced-os-dev-study/"/>
    <hyperlink ref="G10" r:id="rId4" display="https://arxiv.org/abs/2603.22651"/>
    <hyperlink ref="G11" r:id="rId5" display="https://arxiv.org/abs/2607.19266"/>
    <hyperlink ref="G12" r:id="rId6" display="https://www.atlantafed.org/research-and-data/publications/working-papers/2026/03/25/04-artificial-intelligence-productivity-and-the-workforce-evidence-from-corporate-executives"/>
    <hyperlink ref="G14" r:id="rId7" display="https://arxiv.org/abs/2606.08867"/>
    <hyperlink ref="G15" r:id="rId8" display="https://www.pymnts.com/earnings/2026/td-bank-says-ai-is-cutting-mortgage-approvals-from-15-hours-to-3-minutes/"/>
    <hyperlink ref="G16" r:id="rId9" display="https://finance.yahoo.com/sectors/technology/articles/anthropic-quietly-doubles-estimate-much-220101627.html"/>
    <hyperlink ref="G18" r:id="rId10" display="https://evidentinsights.com/insights/outcomes-report/"/>
    <hyperlink ref="G19" r:id="rId11" display="https://www.ciodive.com/news/AI-project-fail-data-SPGlobal/742590/"/>
    <hyperlink ref="G20" r:id="rId12" display="https://www.bain.com/insights/ai-in-financial-services-survey-shows-productivity-gains-across-the-board/"/>
    <hyperlink ref="G21" r:id="rId13" display="https://www.bcg.com/publications/2025/ai-at-work-momentum-builds-but-gaps-remain"/>
    <hyperlink ref="G22" r:id="rId14" display="https://www.capgemini.com/news/press-releases/"/>
    <hyperlink ref="G23" r:id="rId15" display="https://www.prnewswire.com/news-releases/new-study-most-organizations-have-abandoned-human-ai-oversight-302825345.html"/>
    <hyperlink ref="G24" r:id="rId16" display="https://circleci.com/landing-pages/assets/2026-state-of-software-delivery-report.pdf"/>
    <hyperlink ref="G26" r:id="rId17" display="https://aider.chat/docs/leaderboards/"/>
    <hyperlink ref="G27" r:id="rId18" display="https://atlan.com/know/ai-agent/cost-to-run-ai-agents-at-scale/"/>
    <hyperlink ref="G28" r:id="rId19" display="https://www.intercom.com/learning-center/ai-customer-service-agent-pricing-comparison"/>
    <hyperlink ref="G29" r:id="rId20" display="https://gradient-labs.ai/guides/best-ai-chatbots-for-banks"/>
    <hyperlink ref="G30" r:id="rId21" display="https://www.splunk.com/en_us/blog/observability/why-most-projects-still-die-before-production.html"/>
    <hyperlink ref="G31" r:id="rId22" display="https://www.bankingdive.com/spons/when-ai-overwhelms-the-human-in-the-loop/826210/"/>
    <hyperlink ref="G33" r:id="rId23" display="https://eur-lex.europa.eu/eli/reg/2024/1689/oj"/>
    <hyperlink ref="G34" r:id="rId24" display="https://eur-lex.europa.eu/eli/reg/2022/2554/oj"/>
    <hyperlink ref="G35" r:id="rId25" display="https://www.sec.gov/newsroom/press-releases/2024-36"/>
    <hyperlink ref="G36" r:id="rId26" display="https://www.legifrance.gouv.fr/codes/section_lc/LEGITEXT000006072050/LEGISCTA000006178003/"/>
  </hyperlink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2026-08-11T11:24:44Z</dcterms:created>
  <dc:creator>Mounir Fassouane, Acadewie</dc:creator>
  <dc:description>Modèle de retour ajusté du risque pour un cas d’usage agentique en institution financière. Simulation à partir de 38 variables sourcées, et non données observées. Licence Creative Commons BY-ND 4.0.</dc:description>
  <dc:language>fr-FR</dc:language>
  <cp:lastModifiedBy>Acadewie</cp:lastModifiedBy>
  <dcterms:modified xsi:type="dcterms:W3CDTF">2026-08-22T00:00:00Z</dcterms:modified>
  <cp:revision>1</cp:revision>
  <dc:subject>Agents IA en banque et finance · modèle de coût</dc:subject>
  <dc:title>Acadewie · Le futur de la finance à l’ère des agents · Classeur de calcul, version 1.0</dc:title>
</cp:coreProperties>
</file>

<file path=docProps/custom.xml><?xml version="1.0" encoding="utf-8"?>
<Properties xmlns="http://schemas.openxmlformats.org/officeDocument/2006/custom-properties" xmlns:vt="http://schemas.openxmlformats.org/officeDocument/2006/docPropsVTypes"/>
</file>